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ERAL\2024\Terceirizados\RETIFICAÇÕES\"/>
    </mc:Choice>
  </mc:AlternateContent>
  <xr:revisionPtr revIDLastSave="0" documentId="13_ncr:1_{16C17D07-90D3-4F09-89B5-EF2887D1048B}" xr6:coauthVersionLast="47" xr6:coauthVersionMax="47" xr10:uidLastSave="{00000000-0000-0000-0000-000000000000}"/>
  <bookViews>
    <workbookView xWindow="28680" yWindow="-75" windowWidth="29040" windowHeight="15720" tabRatio="747" activeTab="2" xr2:uid="{00000000-000D-0000-FFFF-FFFF00000000}"/>
  </bookViews>
  <sheets>
    <sheet name="Proposta Empresa" sheetId="48" r:id="rId1"/>
    <sheet name="Equip Mat" sheetId="49" state="hidden" r:id="rId2"/>
    <sheet name="Condições Gerais" sheetId="1" r:id="rId3"/>
    <sheet name="horas extras" sheetId="45" r:id="rId4"/>
    <sheet name="Ajuda" sheetId="3" r:id="rId5"/>
    <sheet name="1" sheetId="2" r:id="rId6"/>
    <sheet name="2" sheetId="6" r:id="rId7"/>
    <sheet name="3" sheetId="7" state="hidden" r:id="rId8"/>
    <sheet name="4" sheetId="8" state="hidden" r:id="rId9"/>
    <sheet name="5" sheetId="9" state="hidden" r:id="rId10"/>
    <sheet name="6" sheetId="10" state="hidden" r:id="rId11"/>
    <sheet name="7" sheetId="11" state="hidden" r:id="rId12"/>
    <sheet name="Dotação" sheetId="46" state="hidden" r:id="rId13"/>
  </sheets>
  <definedNames>
    <definedName name="_xlnm.Print_Area" localSheetId="5">'1'!$B$1:$F$86</definedName>
    <definedName name="_xlnm.Print_Area" localSheetId="6">'2'!$B$1:$F$86</definedName>
    <definedName name="_xlnm.Print_Area" localSheetId="7">'3'!$B$1:$F$86</definedName>
    <definedName name="_xlnm.Print_Area" localSheetId="8">'4'!$B$1:$F$86</definedName>
    <definedName name="_xlnm.Print_Area" localSheetId="12">Dotação!$A$1:$Q$10</definedName>
    <definedName name="_xlnm.Print_Area" localSheetId="3">'horas extras'!$A$1:$D$30</definedName>
    <definedName name="_xlnm.Print_Area" localSheetId="0">'Proposta Empresa'!$A$1:$J$44</definedName>
    <definedName name="Excel_BuiltIn_Print_Area_2" localSheetId="12">#REF!</definedName>
    <definedName name="Excel_BuiltIn_Print_Area_2">#REF!</definedName>
    <definedName name="Excel_BuiltIn_Print_Area_3" localSheetId="12">#REF!</definedName>
    <definedName name="Excel_BuiltIn_Print_Area_3">#REF!</definedName>
    <definedName name="_xlnm.Print_Titles" localSheetId="4">Ajuda!$1:$5</definedName>
    <definedName name="_xlnm.Print_Titles" localSheetId="2">'Condições Gerais'!$D:$F</definedName>
    <definedName name="_xlnm.Print_Titles" localSheetId="12">Dotação!$A:$A,Dotação!$5:$7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20" i="1"/>
  <c r="A12" i="1"/>
  <c r="G39" i="1"/>
  <c r="B32" i="48" l="1"/>
  <c r="B20" i="1" s="1"/>
  <c r="B31" i="48"/>
  <c r="B19" i="1" s="1"/>
  <c r="B30" i="48"/>
  <c r="B18" i="1" s="1"/>
  <c r="B29" i="48"/>
  <c r="B17" i="1" s="1"/>
  <c r="B28" i="48"/>
  <c r="B16" i="1" s="1"/>
  <c r="B27" i="48"/>
  <c r="B15" i="1" s="1"/>
  <c r="B26" i="48"/>
  <c r="B14" i="1" s="1"/>
  <c r="B25" i="48"/>
  <c r="B13" i="1" s="1"/>
  <c r="B24" i="48"/>
  <c r="B12" i="1" s="1"/>
  <c r="B26" i="1"/>
  <c r="B33" i="48" l="1"/>
  <c r="G9" i="1"/>
  <c r="E48" i="1" l="1"/>
  <c r="G48" i="1"/>
  <c r="H48" i="1"/>
  <c r="I48" i="1"/>
  <c r="J48" i="1"/>
  <c r="H50" i="1"/>
  <c r="I50" i="1"/>
  <c r="J50" i="1"/>
  <c r="H46" i="1"/>
  <c r="I46" i="1"/>
  <c r="J46" i="1"/>
  <c r="H44" i="1"/>
  <c r="H42" i="1"/>
  <c r="G54" i="1"/>
  <c r="G52" i="1"/>
  <c r="G50" i="1"/>
  <c r="G46" i="1"/>
  <c r="G44" i="1"/>
  <c r="G42" i="1"/>
  <c r="E46" i="1"/>
  <c r="D48" i="1"/>
  <c r="D46" i="1"/>
  <c r="E44" i="1"/>
  <c r="D44" i="1"/>
  <c r="D42" i="1"/>
  <c r="E42" i="1"/>
  <c r="J16" i="48"/>
  <c r="I16" i="48"/>
  <c r="H16" i="48"/>
  <c r="G16" i="48"/>
  <c r="J14" i="48"/>
  <c r="I14" i="48"/>
  <c r="H14" i="48"/>
  <c r="G14" i="48"/>
  <c r="J12" i="48"/>
  <c r="I12" i="48"/>
  <c r="H12" i="48"/>
  <c r="G12" i="48"/>
  <c r="J10" i="48"/>
  <c r="I10" i="48"/>
  <c r="H10" i="48"/>
  <c r="G10" i="48"/>
  <c r="H35" i="1"/>
  <c r="I35" i="1"/>
  <c r="J35" i="1"/>
  <c r="G35" i="1"/>
  <c r="H7" i="1"/>
  <c r="I7" i="1"/>
  <c r="J7" i="1"/>
  <c r="H8" i="1"/>
  <c r="I8" i="1"/>
  <c r="J8" i="1"/>
  <c r="G7" i="1"/>
  <c r="G8" i="1"/>
  <c r="K6" i="48" l="1"/>
  <c r="L6" i="48"/>
  <c r="M6" i="48"/>
  <c r="K9" i="48"/>
  <c r="K51" i="1" s="1"/>
  <c r="F54" i="9" s="1"/>
  <c r="L9" i="48"/>
  <c r="L51" i="1" s="1"/>
  <c r="F54" i="10" s="1"/>
  <c r="M9" i="48"/>
  <c r="M51" i="1" s="1"/>
  <c r="F54" i="11" s="1"/>
  <c r="K11" i="48"/>
  <c r="L11" i="48"/>
  <c r="M11" i="48"/>
  <c r="M35" i="1" s="1"/>
  <c r="K13" i="48"/>
  <c r="K55" i="1" s="1"/>
  <c r="F56" i="9" s="1"/>
  <c r="L13" i="48"/>
  <c r="L55" i="1" s="1"/>
  <c r="F56" i="10" s="1"/>
  <c r="M13" i="48"/>
  <c r="M55" i="1" s="1"/>
  <c r="F56" i="11" s="1"/>
  <c r="H8" i="46"/>
  <c r="F8" i="46"/>
  <c r="D8" i="46"/>
  <c r="B8" i="46"/>
  <c r="B38" i="1"/>
  <c r="B42" i="1"/>
  <c r="B42" i="48" s="1"/>
  <c r="F9" i="6"/>
  <c r="E46" i="6" s="1"/>
  <c r="G45" i="1"/>
  <c r="F51" i="2" s="1"/>
  <c r="H45" i="1"/>
  <c r="F51" i="6" s="1"/>
  <c r="I45" i="1"/>
  <c r="F51" i="7" s="1"/>
  <c r="J45" i="1"/>
  <c r="F51" i="8" s="1"/>
  <c r="K45" i="1"/>
  <c r="F51" i="9" s="1"/>
  <c r="L45" i="1"/>
  <c r="F51" i="10" s="1"/>
  <c r="P9" i="46"/>
  <c r="M45" i="1"/>
  <c r="F51" i="11" s="1"/>
  <c r="F9" i="2"/>
  <c r="E46" i="2" s="1"/>
  <c r="B12" i="48"/>
  <c r="G37" i="1"/>
  <c r="E47" i="2" s="1"/>
  <c r="F47" i="2" s="1"/>
  <c r="B26" i="49"/>
  <c r="B17" i="48"/>
  <c r="M49" i="1"/>
  <c r="F53" i="11" s="1"/>
  <c r="L49" i="1"/>
  <c r="F53" i="10" s="1"/>
  <c r="K49" i="1"/>
  <c r="F53" i="9" s="1"/>
  <c r="J49" i="1"/>
  <c r="F53" i="8" s="1"/>
  <c r="I49" i="1"/>
  <c r="F53" i="7" s="1"/>
  <c r="H49" i="1"/>
  <c r="F53" i="6" s="1"/>
  <c r="G49" i="1"/>
  <c r="F53" i="2" s="1"/>
  <c r="D53" i="7"/>
  <c r="D53" i="9"/>
  <c r="K50" i="1"/>
  <c r="L50" i="1"/>
  <c r="M50" i="1"/>
  <c r="H52" i="1"/>
  <c r="I52" i="1"/>
  <c r="J52" i="1"/>
  <c r="K52" i="1"/>
  <c r="L52" i="1"/>
  <c r="M52" i="1"/>
  <c r="H54" i="1"/>
  <c r="I54" i="1"/>
  <c r="J54" i="1"/>
  <c r="K54" i="1"/>
  <c r="L54" i="1"/>
  <c r="M54" i="1"/>
  <c r="G22" i="48"/>
  <c r="G55" i="1" s="1"/>
  <c r="F56" i="2" s="1"/>
  <c r="E50" i="1"/>
  <c r="E52" i="1"/>
  <c r="E54" i="1"/>
  <c r="D50" i="1"/>
  <c r="D54" i="10" s="1"/>
  <c r="D52" i="1"/>
  <c r="D55" i="2" s="1"/>
  <c r="D54" i="1"/>
  <c r="D56" i="8" s="1"/>
  <c r="D53" i="6"/>
  <c r="H3" i="48"/>
  <c r="I3" i="48"/>
  <c r="J3" i="48"/>
  <c r="G3" i="48"/>
  <c r="H22" i="48"/>
  <c r="H55" i="1" s="1"/>
  <c r="F56" i="6" s="1"/>
  <c r="I22" i="48"/>
  <c r="I55" i="1" s="1"/>
  <c r="F56" i="7" s="1"/>
  <c r="J22" i="48"/>
  <c r="J55" i="1" s="1"/>
  <c r="F56" i="8" s="1"/>
  <c r="H20" i="48"/>
  <c r="H53" i="1" s="1"/>
  <c r="F55" i="6" s="1"/>
  <c r="I20" i="48"/>
  <c r="I53" i="1" s="1"/>
  <c r="F55" i="7" s="1"/>
  <c r="J20" i="48"/>
  <c r="J53" i="1" s="1"/>
  <c r="F55" i="8" s="1"/>
  <c r="M53" i="1"/>
  <c r="F55" i="11" s="1"/>
  <c r="H18" i="48"/>
  <c r="H51" i="1" s="1"/>
  <c r="F54" i="6" s="1"/>
  <c r="I18" i="48"/>
  <c r="I51" i="1" s="1"/>
  <c r="F54" i="7" s="1"/>
  <c r="J18" i="48"/>
  <c r="J51" i="1" s="1"/>
  <c r="F54" i="8" s="1"/>
  <c r="G20" i="48"/>
  <c r="G53" i="1" s="1"/>
  <c r="F55" i="2" s="1"/>
  <c r="G18" i="48"/>
  <c r="G51" i="1" s="1"/>
  <c r="F54" i="2" s="1"/>
  <c r="M13" i="1"/>
  <c r="L36" i="3"/>
  <c r="L44" i="3"/>
  <c r="L38" i="3"/>
  <c r="L34" i="3"/>
  <c r="L30" i="3"/>
  <c r="L32" i="3"/>
  <c r="D15" i="45"/>
  <c r="A34" i="1"/>
  <c r="D73" i="7" s="1"/>
  <c r="A33" i="1"/>
  <c r="D72" i="10" s="1"/>
  <c r="D18" i="45"/>
  <c r="E13" i="6"/>
  <c r="E16" i="6"/>
  <c r="E13" i="2"/>
  <c r="E16" i="2"/>
  <c r="E13" i="7"/>
  <c r="E13" i="8"/>
  <c r="H33" i="1"/>
  <c r="I33" i="1"/>
  <c r="J33" i="1"/>
  <c r="K33" i="1"/>
  <c r="L33" i="1"/>
  <c r="M33" i="1"/>
  <c r="G33" i="1"/>
  <c r="B1" i="6"/>
  <c r="B1" i="7"/>
  <c r="B1" i="8"/>
  <c r="B1" i="9"/>
  <c r="B1" i="10"/>
  <c r="B1" i="11"/>
  <c r="B1" i="2"/>
  <c r="B34" i="1"/>
  <c r="E73" i="11" s="1"/>
  <c r="B33" i="1"/>
  <c r="E72" i="7" s="1"/>
  <c r="B24" i="1"/>
  <c r="E22" i="6" s="1"/>
  <c r="B25" i="1"/>
  <c r="E23" i="10" s="1"/>
  <c r="B29" i="1"/>
  <c r="E27" i="6" s="1"/>
  <c r="B30" i="1"/>
  <c r="E28" i="8" s="1"/>
  <c r="F10" i="11"/>
  <c r="F10" i="10"/>
  <c r="F10" i="9"/>
  <c r="F10" i="8"/>
  <c r="F10" i="7"/>
  <c r="F10" i="6"/>
  <c r="F11" i="6"/>
  <c r="F11" i="7"/>
  <c r="F11" i="8"/>
  <c r="F11" i="9"/>
  <c r="F11" i="10"/>
  <c r="F11" i="11"/>
  <c r="F11" i="2"/>
  <c r="F10" i="2"/>
  <c r="D52" i="6"/>
  <c r="D52" i="7"/>
  <c r="D52" i="8"/>
  <c r="D52" i="9"/>
  <c r="D52" i="10"/>
  <c r="D52" i="11"/>
  <c r="D52" i="2"/>
  <c r="D51" i="6"/>
  <c r="D51" i="7"/>
  <c r="D51" i="8"/>
  <c r="D51" i="9"/>
  <c r="D51" i="10"/>
  <c r="D51" i="11"/>
  <c r="D51" i="2"/>
  <c r="D50" i="6"/>
  <c r="D50" i="7"/>
  <c r="D50" i="8"/>
  <c r="D50" i="9"/>
  <c r="D50" i="10"/>
  <c r="D50" i="11"/>
  <c r="D50" i="2"/>
  <c r="D49" i="6"/>
  <c r="D49" i="7"/>
  <c r="D49" i="8"/>
  <c r="D49" i="9"/>
  <c r="D49" i="10"/>
  <c r="D49" i="11"/>
  <c r="D49" i="2"/>
  <c r="H43" i="1"/>
  <c r="F50" i="6" s="1"/>
  <c r="I43" i="1"/>
  <c r="F50" i="7" s="1"/>
  <c r="J43" i="1"/>
  <c r="F50" i="8" s="1"/>
  <c r="K43" i="1"/>
  <c r="F50" i="9" s="1"/>
  <c r="L43" i="1"/>
  <c r="F50" i="10" s="1"/>
  <c r="M43" i="1"/>
  <c r="F50" i="11" s="1"/>
  <c r="H47" i="1"/>
  <c r="F52" i="6" s="1"/>
  <c r="I47" i="1"/>
  <c r="F52" i="7" s="1"/>
  <c r="J47" i="1"/>
  <c r="F52" i="8" s="1"/>
  <c r="K47" i="1"/>
  <c r="F52" i="9" s="1"/>
  <c r="L47" i="1"/>
  <c r="F52" i="10" s="1"/>
  <c r="M47" i="1"/>
  <c r="F52" i="11" s="1"/>
  <c r="G47" i="1"/>
  <c r="F52" i="2" s="1"/>
  <c r="G43" i="1"/>
  <c r="F50" i="2" s="1"/>
  <c r="N5" i="46"/>
  <c r="L5" i="46"/>
  <c r="J5" i="46"/>
  <c r="H5" i="46"/>
  <c r="F5" i="46"/>
  <c r="D5" i="46"/>
  <c r="B5" i="46"/>
  <c r="D24" i="45"/>
  <c r="D30" i="45"/>
  <c r="D27" i="45"/>
  <c r="D21" i="45"/>
  <c r="D9" i="45"/>
  <c r="D11" i="45" s="1"/>
  <c r="D12" i="45" s="1"/>
  <c r="H37" i="1"/>
  <c r="E47" i="6" s="1"/>
  <c r="I37" i="1"/>
  <c r="J37" i="1"/>
  <c r="E47" i="8" s="1"/>
  <c r="M37" i="1"/>
  <c r="E47" i="11" s="1"/>
  <c r="E15" i="11"/>
  <c r="E14" i="11"/>
  <c r="E16" i="11"/>
  <c r="E12" i="11"/>
  <c r="E15" i="10"/>
  <c r="E14" i="10"/>
  <c r="E16" i="10"/>
  <c r="E12" i="10"/>
  <c r="E15" i="9"/>
  <c r="E14" i="9"/>
  <c r="E16" i="9"/>
  <c r="E12" i="9"/>
  <c r="E14" i="8"/>
  <c r="E16" i="8"/>
  <c r="E12" i="8"/>
  <c r="E15" i="8"/>
  <c r="E15" i="7"/>
  <c r="E14" i="7"/>
  <c r="E16" i="7"/>
  <c r="E12" i="7"/>
  <c r="E15" i="6"/>
  <c r="E14" i="6"/>
  <c r="E12" i="6"/>
  <c r="E15" i="2"/>
  <c r="E14" i="2"/>
  <c r="E12" i="2"/>
  <c r="E83" i="11"/>
  <c r="F9" i="11"/>
  <c r="E6" i="11"/>
  <c r="B6" i="11"/>
  <c r="E83" i="10"/>
  <c r="F9" i="10"/>
  <c r="E46" i="10" s="1"/>
  <c r="E6" i="10"/>
  <c r="B6" i="10"/>
  <c r="H40" i="1"/>
  <c r="H41" i="1" s="1"/>
  <c r="F48" i="6" s="1"/>
  <c r="I40" i="1"/>
  <c r="I41" i="1"/>
  <c r="F48" i="7" s="1"/>
  <c r="J40" i="1"/>
  <c r="J41" i="1"/>
  <c r="F48" i="8" s="1"/>
  <c r="K40" i="1"/>
  <c r="K41" i="1" s="1"/>
  <c r="F48" i="9" s="1"/>
  <c r="L40" i="1"/>
  <c r="L41" i="1" s="1"/>
  <c r="F48" i="10" s="1"/>
  <c r="M40" i="1"/>
  <c r="M41" i="1" s="1"/>
  <c r="F48" i="11" s="1"/>
  <c r="E83" i="9"/>
  <c r="F9" i="9"/>
  <c r="E46" i="9" s="1"/>
  <c r="E6" i="9"/>
  <c r="B6" i="9"/>
  <c r="E83" i="8"/>
  <c r="F9" i="8"/>
  <c r="E46" i="8" s="1"/>
  <c r="E6" i="8"/>
  <c r="B6" i="8"/>
  <c r="E83" i="7"/>
  <c r="F9" i="7"/>
  <c r="E46" i="7" s="1"/>
  <c r="F46" i="7" s="1"/>
  <c r="E6" i="7"/>
  <c r="B6" i="7"/>
  <c r="E83" i="6"/>
  <c r="E6" i="6"/>
  <c r="B6" i="6"/>
  <c r="E86" i="11"/>
  <c r="D39" i="11"/>
  <c r="D37" i="11"/>
  <c r="D36" i="11"/>
  <c r="D35" i="11"/>
  <c r="D34" i="11"/>
  <c r="D33" i="11"/>
  <c r="D32" i="11"/>
  <c r="D31" i="11"/>
  <c r="D30" i="11"/>
  <c r="D28" i="11"/>
  <c r="D27" i="11"/>
  <c r="D26" i="11"/>
  <c r="D25" i="11"/>
  <c r="D24" i="11"/>
  <c r="D23" i="11"/>
  <c r="D22" i="11"/>
  <c r="D21" i="11"/>
  <c r="E86" i="10"/>
  <c r="D39" i="10"/>
  <c r="D37" i="10"/>
  <c r="D36" i="10"/>
  <c r="D35" i="10"/>
  <c r="D34" i="10"/>
  <c r="D33" i="10"/>
  <c r="D32" i="10"/>
  <c r="D31" i="10"/>
  <c r="D30" i="10"/>
  <c r="D28" i="10"/>
  <c r="D27" i="10"/>
  <c r="D26" i="10"/>
  <c r="D25" i="10"/>
  <c r="D24" i="10"/>
  <c r="D23" i="10"/>
  <c r="D22" i="10"/>
  <c r="D21" i="10"/>
  <c r="E86" i="9"/>
  <c r="D39" i="9"/>
  <c r="D37" i="9"/>
  <c r="D36" i="9"/>
  <c r="D35" i="9"/>
  <c r="D34" i="9"/>
  <c r="D33" i="9"/>
  <c r="D32" i="9"/>
  <c r="D31" i="9"/>
  <c r="D30" i="9"/>
  <c r="D28" i="9"/>
  <c r="D27" i="9"/>
  <c r="D26" i="9"/>
  <c r="D25" i="9"/>
  <c r="D24" i="9"/>
  <c r="D23" i="9"/>
  <c r="D22" i="9"/>
  <c r="D21" i="9"/>
  <c r="E86" i="8"/>
  <c r="D39" i="8"/>
  <c r="D37" i="8"/>
  <c r="D36" i="8"/>
  <c r="D35" i="8"/>
  <c r="D34" i="8"/>
  <c r="D33" i="8"/>
  <c r="D32" i="8"/>
  <c r="D31" i="8"/>
  <c r="D30" i="8"/>
  <c r="D28" i="8"/>
  <c r="D27" i="8"/>
  <c r="D26" i="8"/>
  <c r="D25" i="8"/>
  <c r="D24" i="8"/>
  <c r="D23" i="8"/>
  <c r="D22" i="8"/>
  <c r="D21" i="8"/>
  <c r="E86" i="7"/>
  <c r="D39" i="7"/>
  <c r="D37" i="7"/>
  <c r="D36" i="7"/>
  <c r="D35" i="7"/>
  <c r="D34" i="7"/>
  <c r="D33" i="7"/>
  <c r="D32" i="7"/>
  <c r="D31" i="7"/>
  <c r="D30" i="7"/>
  <c r="D28" i="7"/>
  <c r="D27" i="7"/>
  <c r="D26" i="7"/>
  <c r="D25" i="7"/>
  <c r="D24" i="7"/>
  <c r="D23" i="7"/>
  <c r="D22" i="7"/>
  <c r="D21" i="7"/>
  <c r="E86" i="6"/>
  <c r="D39" i="6"/>
  <c r="D37" i="6"/>
  <c r="D36" i="6"/>
  <c r="D35" i="6"/>
  <c r="D34" i="6"/>
  <c r="D33" i="6"/>
  <c r="D32" i="6"/>
  <c r="D31" i="6"/>
  <c r="D30" i="6"/>
  <c r="D28" i="6"/>
  <c r="D27" i="6"/>
  <c r="D26" i="6"/>
  <c r="D25" i="6"/>
  <c r="D24" i="6"/>
  <c r="D23" i="6"/>
  <c r="D22" i="6"/>
  <c r="D21" i="6"/>
  <c r="L42" i="3"/>
  <c r="L28" i="3"/>
  <c r="E36" i="10"/>
  <c r="L40" i="3"/>
  <c r="B6" i="2"/>
  <c r="E6" i="2"/>
  <c r="D21" i="2"/>
  <c r="D22" i="2"/>
  <c r="D23" i="2"/>
  <c r="D24" i="2"/>
  <c r="D25" i="2"/>
  <c r="D26" i="2"/>
  <c r="D27" i="2"/>
  <c r="D28" i="2"/>
  <c r="D30" i="2"/>
  <c r="D31" i="2"/>
  <c r="D32" i="2"/>
  <c r="D33" i="2"/>
  <c r="D34" i="2"/>
  <c r="D35" i="2"/>
  <c r="D36" i="2"/>
  <c r="D37" i="2"/>
  <c r="D39" i="2"/>
  <c r="E86" i="2"/>
  <c r="G40" i="1"/>
  <c r="G41" i="1" s="1"/>
  <c r="F48" i="2" s="1"/>
  <c r="E13" i="9"/>
  <c r="E13" i="10"/>
  <c r="E13" i="11"/>
  <c r="E31" i="11"/>
  <c r="E31" i="6"/>
  <c r="E35" i="2"/>
  <c r="E35" i="7"/>
  <c r="E32" i="10"/>
  <c r="I13" i="1"/>
  <c r="K13" i="1"/>
  <c r="K18" i="1" s="1"/>
  <c r="J13" i="1"/>
  <c r="J18" i="1" s="1"/>
  <c r="L13" i="1"/>
  <c r="L18" i="1" s="1"/>
  <c r="L31" i="1" s="1"/>
  <c r="F15" i="10" s="1"/>
  <c r="G13" i="1"/>
  <c r="G18" i="1" s="1"/>
  <c r="G23" i="1" s="1"/>
  <c r="F49" i="2" s="1"/>
  <c r="E31" i="9"/>
  <c r="E31" i="7"/>
  <c r="E33" i="11"/>
  <c r="E25" i="10"/>
  <c r="E25" i="2"/>
  <c r="E21" i="8"/>
  <c r="E21" i="10"/>
  <c r="E26" i="9"/>
  <c r="E26" i="6"/>
  <c r="E26" i="11"/>
  <c r="E26" i="7"/>
  <c r="E39" i="7"/>
  <c r="E21" i="9"/>
  <c r="E25" i="7"/>
  <c r="E21" i="11"/>
  <c r="E21" i="2"/>
  <c r="E21" i="7"/>
  <c r="E21" i="6"/>
  <c r="E25" i="8"/>
  <c r="E25" i="11"/>
  <c r="E25" i="6"/>
  <c r="E25" i="9"/>
  <c r="E26" i="8"/>
  <c r="E26" i="2"/>
  <c r="E26" i="10"/>
  <c r="E31" i="10"/>
  <c r="E30" i="7"/>
  <c r="E35" i="6"/>
  <c r="E31" i="8"/>
  <c r="E32" i="7"/>
  <c r="E31" i="2"/>
  <c r="E35" i="11"/>
  <c r="E35" i="8"/>
  <c r="E35" i="9"/>
  <c r="D53" i="2"/>
  <c r="D53" i="8"/>
  <c r="D53" i="11"/>
  <c r="D53" i="10"/>
  <c r="E74" i="8"/>
  <c r="E74" i="7"/>
  <c r="E74" i="9"/>
  <c r="D74" i="9"/>
  <c r="E74" i="6"/>
  <c r="E74" i="11"/>
  <c r="E74" i="10"/>
  <c r="E74" i="2"/>
  <c r="E24" i="8"/>
  <c r="E36" i="6"/>
  <c r="E37" i="10"/>
  <c r="E37" i="7"/>
  <c r="E30" i="6"/>
  <c r="E30" i="11"/>
  <c r="E36" i="2"/>
  <c r="E32" i="9"/>
  <c r="E32" i="2"/>
  <c r="E24" i="10"/>
  <c r="E24" i="11"/>
  <c r="E24" i="6"/>
  <c r="E24" i="9"/>
  <c r="E24" i="7"/>
  <c r="E24" i="2"/>
  <c r="D74" i="6"/>
  <c r="D74" i="7"/>
  <c r="D74" i="10"/>
  <c r="D74" i="2"/>
  <c r="D74" i="11"/>
  <c r="D74" i="8"/>
  <c r="E34" i="7"/>
  <c r="E34" i="11"/>
  <c r="E34" i="9"/>
  <c r="E34" i="10"/>
  <c r="E34" i="8"/>
  <c r="E34" i="6"/>
  <c r="E34" i="2"/>
  <c r="E39" i="8"/>
  <c r="E40" i="8" s="1"/>
  <c r="E39" i="9"/>
  <c r="E37" i="8"/>
  <c r="E36" i="9"/>
  <c r="E37" i="6"/>
  <c r="E37" i="2"/>
  <c r="E36" i="7"/>
  <c r="E36" i="8"/>
  <c r="E35" i="10"/>
  <c r="E39" i="2"/>
  <c r="E40" i="2" s="1"/>
  <c r="E33" i="2"/>
  <c r="E33" i="9"/>
  <c r="E46" i="11"/>
  <c r="E83" i="2"/>
  <c r="H13" i="1"/>
  <c r="H18" i="1" s="1"/>
  <c r="F6" i="6" s="1"/>
  <c r="E22" i="10"/>
  <c r="E28" i="6"/>
  <c r="E72" i="6"/>
  <c r="D73" i="11"/>
  <c r="D56" i="11" l="1"/>
  <c r="F46" i="11"/>
  <c r="F46" i="10"/>
  <c r="K15" i="1"/>
  <c r="F46" i="9"/>
  <c r="K31" i="1"/>
  <c r="F15" i="9" s="1"/>
  <c r="K29" i="1"/>
  <c r="F14" i="9" s="1"/>
  <c r="L15" i="1"/>
  <c r="P8" i="46"/>
  <c r="D56" i="9"/>
  <c r="D56" i="10"/>
  <c r="D56" i="2"/>
  <c r="E22" i="8"/>
  <c r="D56" i="6"/>
  <c r="E72" i="11"/>
  <c r="E75" i="11" s="1"/>
  <c r="E28" i="2"/>
  <c r="D73" i="10"/>
  <c r="E72" i="9"/>
  <c r="E28" i="9"/>
  <c r="D73" i="6"/>
  <c r="E72" i="8"/>
  <c r="D73" i="2"/>
  <c r="E28" i="7"/>
  <c r="E28" i="10"/>
  <c r="E28" i="11"/>
  <c r="D54" i="9"/>
  <c r="D54" i="7"/>
  <c r="D54" i="6"/>
  <c r="D72" i="9"/>
  <c r="D54" i="2"/>
  <c r="D54" i="8"/>
  <c r="D54" i="11"/>
  <c r="E27" i="10"/>
  <c r="F46" i="8"/>
  <c r="E72" i="10"/>
  <c r="J15" i="1"/>
  <c r="F47" i="6"/>
  <c r="E23" i="7"/>
  <c r="L53" i="1"/>
  <c r="F55" i="10" s="1"/>
  <c r="L35" i="1"/>
  <c r="L37" i="1" s="1"/>
  <c r="E47" i="10" s="1"/>
  <c r="D73" i="9"/>
  <c r="E23" i="2"/>
  <c r="D55" i="11"/>
  <c r="D73" i="8"/>
  <c r="K53" i="1"/>
  <c r="F55" i="9" s="1"/>
  <c r="K35" i="1"/>
  <c r="K37" i="1" s="1"/>
  <c r="E47" i="9" s="1"/>
  <c r="E23" i="9"/>
  <c r="D55" i="8"/>
  <c r="E23" i="6"/>
  <c r="E29" i="6" s="1"/>
  <c r="E23" i="11"/>
  <c r="E23" i="8"/>
  <c r="D55" i="6"/>
  <c r="G21" i="1"/>
  <c r="F12" i="2" s="1"/>
  <c r="F6" i="2"/>
  <c r="J29" i="1"/>
  <c r="F14" i="8" s="1"/>
  <c r="J31" i="1"/>
  <c r="F15" i="8" s="1"/>
  <c r="J25" i="1"/>
  <c r="F13" i="8" s="1"/>
  <c r="H29" i="1"/>
  <c r="F14" i="6" s="1"/>
  <c r="H15" i="1"/>
  <c r="H25" i="1"/>
  <c r="F13" i="6" s="1"/>
  <c r="F46" i="2"/>
  <c r="F57" i="2" s="1"/>
  <c r="F62" i="2" s="1"/>
  <c r="G27" i="1"/>
  <c r="F16" i="2" s="1"/>
  <c r="G15" i="1"/>
  <c r="E27" i="7"/>
  <c r="E27" i="9"/>
  <c r="D55" i="7"/>
  <c r="D72" i="2"/>
  <c r="D72" i="6"/>
  <c r="D72" i="8"/>
  <c r="D72" i="7"/>
  <c r="E72" i="2"/>
  <c r="D72" i="11"/>
  <c r="D55" i="10"/>
  <c r="D55" i="9"/>
  <c r="E66" i="2"/>
  <c r="E66" i="9"/>
  <c r="E66" i="6"/>
  <c r="E66" i="11"/>
  <c r="E66" i="8"/>
  <c r="E66" i="7"/>
  <c r="E22" i="9"/>
  <c r="E22" i="7"/>
  <c r="B31" i="1"/>
  <c r="E22" i="2"/>
  <c r="E22" i="11"/>
  <c r="E73" i="7"/>
  <c r="E73" i="2"/>
  <c r="E73" i="8"/>
  <c r="E73" i="6"/>
  <c r="E75" i="6" s="1"/>
  <c r="B36" i="1"/>
  <c r="E73" i="9"/>
  <c r="E66" i="10"/>
  <c r="E40" i="7"/>
  <c r="E73" i="10"/>
  <c r="K27" i="1"/>
  <c r="F16" i="9" s="1"/>
  <c r="F6" i="9"/>
  <c r="K23" i="1"/>
  <c r="F49" i="9" s="1"/>
  <c r="K21" i="1"/>
  <c r="F12" i="9" s="1"/>
  <c r="F47" i="11"/>
  <c r="F47" i="8"/>
  <c r="M18" i="1"/>
  <c r="M15" i="1"/>
  <c r="H27" i="1"/>
  <c r="F16" i="6" s="1"/>
  <c r="H21" i="1"/>
  <c r="F12" i="6" s="1"/>
  <c r="H23" i="1"/>
  <c r="F49" i="6" s="1"/>
  <c r="H31" i="1"/>
  <c r="F15" i="6" s="1"/>
  <c r="F6" i="8"/>
  <c r="J23" i="1"/>
  <c r="F49" i="8" s="1"/>
  <c r="J27" i="1"/>
  <c r="F16" i="8" s="1"/>
  <c r="J21" i="1"/>
  <c r="F12" i="8" s="1"/>
  <c r="L21" i="1"/>
  <c r="F12" i="10" s="1"/>
  <c r="L29" i="1"/>
  <c r="F14" i="10" s="1"/>
  <c r="F6" i="10"/>
  <c r="L25" i="1"/>
  <c r="F13" i="10" s="1"/>
  <c r="L27" i="1"/>
  <c r="F16" i="10" s="1"/>
  <c r="L23" i="1"/>
  <c r="F49" i="10" s="1"/>
  <c r="E37" i="9"/>
  <c r="E37" i="11"/>
  <c r="E47" i="7"/>
  <c r="F47" i="7" s="1"/>
  <c r="F46" i="6"/>
  <c r="D56" i="7"/>
  <c r="E30" i="2"/>
  <c r="E30" i="8"/>
  <c r="E30" i="9"/>
  <c r="E30" i="10"/>
  <c r="B21" i="1"/>
  <c r="K25" i="1"/>
  <c r="F13" i="9" s="1"/>
  <c r="E40" i="9"/>
  <c r="E39" i="11"/>
  <c r="E39" i="10"/>
  <c r="E39" i="6"/>
  <c r="G25" i="1"/>
  <c r="F13" i="2" s="1"/>
  <c r="G31" i="1"/>
  <c r="F15" i="2" s="1"/>
  <c r="G29" i="1"/>
  <c r="F14" i="2" s="1"/>
  <c r="I18" i="1"/>
  <c r="I15" i="1"/>
  <c r="E27" i="2"/>
  <c r="E27" i="11"/>
  <c r="E27" i="8"/>
  <c r="E32" i="11"/>
  <c r="E32" i="8"/>
  <c r="E32" i="6"/>
  <c r="E33" i="8"/>
  <c r="E33" i="10"/>
  <c r="E33" i="6"/>
  <c r="E33" i="7"/>
  <c r="E38" i="7" s="1"/>
  <c r="E36" i="11"/>
  <c r="E38" i="11" l="1"/>
  <c r="E29" i="10"/>
  <c r="E75" i="2"/>
  <c r="E78" i="2" s="1"/>
  <c r="F47" i="10"/>
  <c r="F57" i="10" s="1"/>
  <c r="F62" i="10" s="1"/>
  <c r="E29" i="8"/>
  <c r="F57" i="6"/>
  <c r="F62" i="6" s="1"/>
  <c r="F47" i="9"/>
  <c r="F57" i="9" s="1"/>
  <c r="F62" i="9" s="1"/>
  <c r="F57" i="8"/>
  <c r="F62" i="8" s="1"/>
  <c r="F17" i="2"/>
  <c r="F18" i="2" s="1"/>
  <c r="F22" i="2" s="1"/>
  <c r="E75" i="9"/>
  <c r="E29" i="11"/>
  <c r="F17" i="9"/>
  <c r="F18" i="9" s="1"/>
  <c r="E29" i="2"/>
  <c r="E78" i="6"/>
  <c r="E75" i="7"/>
  <c r="E75" i="10"/>
  <c r="E29" i="9"/>
  <c r="I29" i="1"/>
  <c r="F14" i="7" s="1"/>
  <c r="I25" i="1"/>
  <c r="F13" i="7" s="1"/>
  <c r="I21" i="1"/>
  <c r="F12" i="7" s="1"/>
  <c r="I23" i="1"/>
  <c r="F49" i="7" s="1"/>
  <c r="F57" i="7" s="1"/>
  <c r="F62" i="7" s="1"/>
  <c r="I31" i="1"/>
  <c r="F15" i="7" s="1"/>
  <c r="I27" i="1"/>
  <c r="F16" i="7" s="1"/>
  <c r="F6" i="7"/>
  <c r="E40" i="6"/>
  <c r="E38" i="2"/>
  <c r="F17" i="10"/>
  <c r="F18" i="10" s="1"/>
  <c r="F17" i="6"/>
  <c r="F18" i="6" s="1"/>
  <c r="F39" i="6" s="1"/>
  <c r="F40" i="6" s="1"/>
  <c r="M29" i="1"/>
  <c r="F14" i="11" s="1"/>
  <c r="M21" i="1"/>
  <c r="F12" i="11" s="1"/>
  <c r="M27" i="1"/>
  <c r="F16" i="11" s="1"/>
  <c r="F6" i="11"/>
  <c r="M23" i="1"/>
  <c r="F49" i="11" s="1"/>
  <c r="F57" i="11" s="1"/>
  <c r="F62" i="11" s="1"/>
  <c r="M25" i="1"/>
  <c r="F13" i="11" s="1"/>
  <c r="M31" i="1"/>
  <c r="F15" i="11" s="1"/>
  <c r="E40" i="11"/>
  <c r="E38" i="9"/>
  <c r="F17" i="8"/>
  <c r="F18" i="8" s="1"/>
  <c r="E38" i="8"/>
  <c r="E38" i="6"/>
  <c r="E41" i="6" s="1"/>
  <c r="E40" i="10"/>
  <c r="E38" i="10"/>
  <c r="E75" i="8"/>
  <c r="E29" i="7"/>
  <c r="E78" i="11"/>
  <c r="E41" i="8" l="1"/>
  <c r="F41" i="8" s="1"/>
  <c r="F42" i="8" s="1"/>
  <c r="F32" i="6"/>
  <c r="F27" i="8"/>
  <c r="F30" i="8"/>
  <c r="F32" i="8"/>
  <c r="F30" i="2"/>
  <c r="F27" i="2"/>
  <c r="F26" i="10"/>
  <c r="F31" i="10"/>
  <c r="F35" i="10"/>
  <c r="F37" i="10"/>
  <c r="F24" i="10"/>
  <c r="F60" i="10"/>
  <c r="F23" i="10"/>
  <c r="F34" i="10"/>
  <c r="F28" i="10"/>
  <c r="F25" i="10"/>
  <c r="F22" i="10"/>
  <c r="F32" i="10"/>
  <c r="F27" i="10"/>
  <c r="F36" i="10"/>
  <c r="F21" i="10"/>
  <c r="F39" i="10"/>
  <c r="F40" i="10" s="1"/>
  <c r="F30" i="10"/>
  <c r="F33" i="10"/>
  <c r="E42" i="6"/>
  <c r="F41" i="6"/>
  <c r="F42" i="6" s="1"/>
  <c r="F60" i="9"/>
  <c r="F34" i="9"/>
  <c r="F36" i="9"/>
  <c r="F21" i="9"/>
  <c r="F31" i="9"/>
  <c r="F25" i="9"/>
  <c r="F24" i="9"/>
  <c r="F23" i="9"/>
  <c r="F35" i="9"/>
  <c r="F33" i="9"/>
  <c r="F39" i="9"/>
  <c r="F40" i="9" s="1"/>
  <c r="F26" i="9"/>
  <c r="F32" i="9"/>
  <c r="F28" i="9"/>
  <c r="F27" i="9"/>
  <c r="F30" i="9"/>
  <c r="F37" i="9"/>
  <c r="F22" i="9"/>
  <c r="E43" i="6"/>
  <c r="F36" i="8"/>
  <c r="F28" i="8"/>
  <c r="F21" i="8"/>
  <c r="F35" i="8"/>
  <c r="F25" i="8"/>
  <c r="F37" i="8"/>
  <c r="F31" i="8"/>
  <c r="F26" i="8"/>
  <c r="F60" i="8"/>
  <c r="F34" i="8"/>
  <c r="F24" i="8"/>
  <c r="F23" i="8"/>
  <c r="F22" i="8"/>
  <c r="F39" i="8"/>
  <c r="F40" i="8" s="1"/>
  <c r="F35" i="6"/>
  <c r="F36" i="6"/>
  <c r="F60" i="6"/>
  <c r="F24" i="6"/>
  <c r="F21" i="6"/>
  <c r="F30" i="6"/>
  <c r="F26" i="6"/>
  <c r="F27" i="6"/>
  <c r="F28" i="6"/>
  <c r="F25" i="6"/>
  <c r="F37" i="6"/>
  <c r="F31" i="6"/>
  <c r="F23" i="6"/>
  <c r="F34" i="6"/>
  <c r="F22" i="6"/>
  <c r="E41" i="2"/>
  <c r="F33" i="8"/>
  <c r="E78" i="9"/>
  <c r="E42" i="8"/>
  <c r="E43" i="8" s="1"/>
  <c r="F17" i="7"/>
  <c r="F18" i="7" s="1"/>
  <c r="E41" i="9"/>
  <c r="E78" i="8"/>
  <c r="E41" i="10"/>
  <c r="E41" i="7"/>
  <c r="F33" i="6"/>
  <c r="F33" i="2"/>
  <c r="F60" i="2"/>
  <c r="F35" i="2"/>
  <c r="F24" i="2"/>
  <c r="F28" i="2"/>
  <c r="F39" i="2"/>
  <c r="F40" i="2" s="1"/>
  <c r="F26" i="2"/>
  <c r="F32" i="2"/>
  <c r="F23" i="2"/>
  <c r="F25" i="2"/>
  <c r="F31" i="2"/>
  <c r="F37" i="2"/>
  <c r="F36" i="2"/>
  <c r="F21" i="2"/>
  <c r="F34" i="2"/>
  <c r="F17" i="11"/>
  <c r="F18" i="11" s="1"/>
  <c r="E78" i="10"/>
  <c r="E78" i="7"/>
  <c r="E41" i="11"/>
  <c r="F38" i="9" l="1"/>
  <c r="F29" i="10"/>
  <c r="F38" i="8"/>
  <c r="F38" i="2"/>
  <c r="F60" i="7"/>
  <c r="F24" i="7"/>
  <c r="F35" i="7"/>
  <c r="F31" i="7"/>
  <c r="F30" i="7"/>
  <c r="F28" i="7"/>
  <c r="F25" i="7"/>
  <c r="F34" i="7"/>
  <c r="F21" i="7"/>
  <c r="F26" i="7"/>
  <c r="F36" i="7"/>
  <c r="F23" i="7"/>
  <c r="F37" i="7"/>
  <c r="F27" i="7"/>
  <c r="F32" i="7"/>
  <c r="F39" i="7"/>
  <c r="F40" i="7" s="1"/>
  <c r="F33" i="7"/>
  <c r="F22" i="7"/>
  <c r="E42" i="11"/>
  <c r="E43" i="11" s="1"/>
  <c r="F41" i="11"/>
  <c r="F42" i="11" s="1"/>
  <c r="F29" i="6"/>
  <c r="F29" i="8"/>
  <c r="F38" i="6"/>
  <c r="F29" i="9"/>
  <c r="E42" i="7"/>
  <c r="E43" i="7" s="1"/>
  <c r="F41" i="7"/>
  <c r="F42" i="7" s="1"/>
  <c r="F26" i="11"/>
  <c r="F60" i="11"/>
  <c r="F23" i="11"/>
  <c r="F28" i="11"/>
  <c r="F35" i="11"/>
  <c r="F33" i="11"/>
  <c r="F24" i="11"/>
  <c r="F25" i="11"/>
  <c r="F34" i="11"/>
  <c r="F21" i="11"/>
  <c r="F31" i="11"/>
  <c r="F30" i="11"/>
  <c r="F32" i="11"/>
  <c r="F39" i="11"/>
  <c r="F40" i="11" s="1"/>
  <c r="F22" i="11"/>
  <c r="F37" i="11"/>
  <c r="F36" i="11"/>
  <c r="F27" i="11"/>
  <c r="F41" i="10"/>
  <c r="F42" i="10" s="1"/>
  <c r="E42" i="10"/>
  <c r="E43" i="10" s="1"/>
  <c r="F41" i="9"/>
  <c r="F42" i="9" s="1"/>
  <c r="E42" i="9"/>
  <c r="E43" i="9" s="1"/>
  <c r="E42" i="2"/>
  <c r="E43" i="2" s="1"/>
  <c r="F41" i="2"/>
  <c r="F42" i="2" s="1"/>
  <c r="F29" i="2"/>
  <c r="F38" i="10"/>
  <c r="F38" i="11" l="1"/>
  <c r="F43" i="10"/>
  <c r="F61" i="10" s="1"/>
  <c r="F63" i="10" s="1"/>
  <c r="F43" i="8"/>
  <c r="F61" i="8" s="1"/>
  <c r="F63" i="8" s="1"/>
  <c r="F66" i="8" s="1"/>
  <c r="J56" i="1" s="1"/>
  <c r="F43" i="2"/>
  <c r="F61" i="2" s="1"/>
  <c r="F63" i="2" s="1"/>
  <c r="F66" i="2" s="1"/>
  <c r="G56" i="1" s="1"/>
  <c r="F43" i="6"/>
  <c r="F61" i="6" s="1"/>
  <c r="F63" i="6" s="1"/>
  <c r="F66" i="6" s="1"/>
  <c r="H56" i="1" s="1"/>
  <c r="F43" i="9"/>
  <c r="F61" i="9" s="1"/>
  <c r="F63" i="9" s="1"/>
  <c r="F66" i="9" s="1"/>
  <c r="K56" i="1" s="1"/>
  <c r="F66" i="10"/>
  <c r="L56" i="1" s="1"/>
  <c r="F29" i="11"/>
  <c r="F43" i="11" s="1"/>
  <c r="F61" i="11" s="1"/>
  <c r="F63" i="11" s="1"/>
  <c r="F29" i="7"/>
  <c r="F38" i="7"/>
  <c r="F69" i="6" l="1"/>
  <c r="F79" i="6" s="1"/>
  <c r="F66" i="11"/>
  <c r="M56" i="1" s="1"/>
  <c r="F69" i="9"/>
  <c r="F79" i="9" s="1"/>
  <c r="F69" i="10"/>
  <c r="F79" i="10" s="1"/>
  <c r="F43" i="7"/>
  <c r="F61" i="7" s="1"/>
  <c r="F63" i="7" s="1"/>
  <c r="F69" i="8"/>
  <c r="F79" i="8" s="1"/>
  <c r="F69" i="2"/>
  <c r="F79" i="2" s="1"/>
  <c r="F83" i="8" l="1"/>
  <c r="J57" i="1"/>
  <c r="F72" i="8"/>
  <c r="I6" i="46"/>
  <c r="I8" i="46" s="1"/>
  <c r="I9" i="46" s="1"/>
  <c r="I10" i="46" s="1"/>
  <c r="F74" i="8"/>
  <c r="F73" i="8"/>
  <c r="F75" i="8"/>
  <c r="F83" i="2"/>
  <c r="F72" i="2"/>
  <c r="F74" i="2"/>
  <c r="C6" i="46"/>
  <c r="C8" i="46" s="1"/>
  <c r="G57" i="1"/>
  <c r="F75" i="2"/>
  <c r="F73" i="2"/>
  <c r="K57" i="1"/>
  <c r="K6" i="46"/>
  <c r="K8" i="46" s="1"/>
  <c r="K9" i="46" s="1"/>
  <c r="K10" i="46" s="1"/>
  <c r="F74" i="9"/>
  <c r="F83" i="9"/>
  <c r="F72" i="9"/>
  <c r="F73" i="9"/>
  <c r="F75" i="9"/>
  <c r="F66" i="7"/>
  <c r="I56" i="1" s="1"/>
  <c r="F69" i="11"/>
  <c r="F79" i="11" s="1"/>
  <c r="F74" i="10"/>
  <c r="L57" i="1"/>
  <c r="M6" i="46"/>
  <c r="M8" i="46" s="1"/>
  <c r="M9" i="46" s="1"/>
  <c r="M10" i="46" s="1"/>
  <c r="F83" i="10"/>
  <c r="F72" i="10"/>
  <c r="F73" i="10"/>
  <c r="F75" i="10"/>
  <c r="F83" i="6"/>
  <c r="F74" i="6"/>
  <c r="H57" i="1"/>
  <c r="E6" i="46"/>
  <c r="E8" i="46" s="1"/>
  <c r="E9" i="46" s="1"/>
  <c r="E10" i="46" s="1"/>
  <c r="F72" i="6"/>
  <c r="F75" i="6"/>
  <c r="F73" i="6"/>
  <c r="F74" i="11" l="1"/>
  <c r="M57" i="1"/>
  <c r="O6" i="46"/>
  <c r="O8" i="46" s="1"/>
  <c r="O9" i="46" s="1"/>
  <c r="O10" i="46" s="1"/>
  <c r="F83" i="11"/>
  <c r="F72" i="11"/>
  <c r="F73" i="11"/>
  <c r="F75" i="11"/>
  <c r="C9" i="46"/>
  <c r="F86" i="6"/>
  <c r="H59" i="1" s="1"/>
  <c r="H58" i="1"/>
  <c r="F86" i="2"/>
  <c r="G59" i="1" s="1"/>
  <c r="G58" i="1"/>
  <c r="F69" i="7"/>
  <c r="F79" i="7" s="1"/>
  <c r="F86" i="9"/>
  <c r="K59" i="1" s="1"/>
  <c r="K58" i="1"/>
  <c r="L58" i="1"/>
  <c r="F86" i="10"/>
  <c r="L59" i="1" s="1"/>
  <c r="F86" i="8"/>
  <c r="J59" i="1" s="1"/>
  <c r="J58" i="1"/>
  <c r="C10" i="46" l="1"/>
  <c r="M58" i="1"/>
  <c r="F86" i="11"/>
  <c r="M59" i="1" s="1"/>
  <c r="I57" i="1"/>
  <c r="F74" i="7"/>
  <c r="G6" i="46"/>
  <c r="G8" i="46" s="1"/>
  <c r="F83" i="7"/>
  <c r="F72" i="7"/>
  <c r="F73" i="7"/>
  <c r="F75" i="7"/>
  <c r="F86" i="7" l="1"/>
  <c r="I59" i="1" s="1"/>
  <c r="I58" i="1"/>
  <c r="B43" i="1" s="1"/>
  <c r="G9" i="46"/>
  <c r="Q8" i="46"/>
  <c r="G10" i="46" l="1"/>
  <c r="Q10" i="46" s="1"/>
  <c r="Q9" i="46"/>
  <c r="B43" i="48"/>
  <c r="B44" i="1"/>
  <c r="B44" i="48" l="1"/>
</calcChain>
</file>

<file path=xl/sharedStrings.xml><?xml version="1.0" encoding="utf-8"?>
<sst xmlns="http://schemas.openxmlformats.org/spreadsheetml/2006/main" count="1007" uniqueCount="313">
  <si>
    <t>PLANILHA DE COMPOSIÇÃO DE PREÇO</t>
  </si>
  <si>
    <t>SALÁRIO</t>
  </si>
  <si>
    <t>TOTAL</t>
  </si>
  <si>
    <t>GRUPO A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</si>
  <si>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</si>
  <si>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</si>
  <si>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</si>
  <si>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</si>
  <si>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</si>
  <si>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</si>
  <si>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</si>
  <si>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</si>
  <si>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</si>
  <si>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Total do GRUPO A</t>
  </si>
  <si>
    <t>GRUPO B</t>
  </si>
  <si>
    <t xml:space="preserve">Férias </t>
  </si>
  <si>
    <t>Auxílio doença</t>
  </si>
  <si>
    <t>Licença maternidade</t>
  </si>
  <si>
    <t>Licença paternidade</t>
  </si>
  <si>
    <t>Faltas legais</t>
  </si>
  <si>
    <t>Aviso Prévio</t>
  </si>
  <si>
    <t>13º Salário</t>
  </si>
  <si>
    <t>Total do GRUPO B</t>
  </si>
  <si>
    <t>GRUPO C</t>
  </si>
  <si>
    <t>Total do GRUPO C</t>
  </si>
  <si>
    <t>Total do GRUPO D</t>
  </si>
  <si>
    <t>PIS</t>
  </si>
  <si>
    <t>COFINS</t>
  </si>
  <si>
    <t xml:space="preserve">Salário </t>
  </si>
  <si>
    <t>Adicional Noturno</t>
  </si>
  <si>
    <t>Transporte</t>
  </si>
  <si>
    <t>Hora Extra</t>
  </si>
  <si>
    <t>SINDICATO</t>
  </si>
  <si>
    <t>GRUPO D</t>
  </si>
  <si>
    <t>TOTAL DOS TRIBUTOS</t>
  </si>
  <si>
    <t>Nº MESES</t>
  </si>
  <si>
    <t>TOTAL MENSAL</t>
  </si>
  <si>
    <t>Incidência dos encargos do grupo "A" sobre o grupo "B" (% do grupo "A" x % do Grupo "B")</t>
  </si>
  <si>
    <t>MENSAL</t>
  </si>
  <si>
    <t>Adicional Periculosidade ou Insalubridade</t>
  </si>
  <si>
    <t>Acidente de trabalho</t>
  </si>
  <si>
    <t>---</t>
  </si>
  <si>
    <t>JORNADA</t>
  </si>
  <si>
    <t>Indenizações  para rescisões sem justa causa</t>
  </si>
  <si>
    <t>Alimentação (vales, cesta básica)</t>
  </si>
  <si>
    <t>RSR - Repouso Semanal Remunerado</t>
  </si>
  <si>
    <t>RSR - Repouso Semanal Remunerado sobre HE e adicional noturno</t>
  </si>
  <si>
    <t>Adicional Periculosidade</t>
  </si>
  <si>
    <t>Adicional Insalubridade</t>
  </si>
  <si>
    <t>CLT art. 73</t>
  </si>
  <si>
    <t>CLT art. 59</t>
  </si>
  <si>
    <t>RPS - Regulamento da Previdência Social, art. 30, inc. III, aprovado pelo Decreto 3.048/99</t>
  </si>
  <si>
    <t>CF/88, art. 7º, inc. XVII</t>
  </si>
  <si>
    <t>CF/88, art. 7º, inc. XVIII e Lei 8213/91</t>
  </si>
  <si>
    <r>
      <t xml:space="preserve">CF/88, art. 7º, inc. XIX e ADCT - Ato das Disposições Constitucionais Transitórias art. 10 </t>
    </r>
    <r>
      <rPr>
        <sz val="10"/>
        <color indexed="8"/>
        <rFont val="Calibri"/>
        <family val="2"/>
      </rPr>
      <t>§ 1º</t>
    </r>
  </si>
  <si>
    <t>Lei 8213, arts. 12 a 23</t>
  </si>
  <si>
    <t>CF/88, art. 7º, inc. VIII e Leis 40/90/62 e 4749/65, regulamentadas pelo Decreto 57155/65</t>
  </si>
  <si>
    <t xml:space="preserve"> e Lei Complementar 110</t>
  </si>
  <si>
    <t>VALOR MENSAL</t>
  </si>
  <si>
    <t>TOTAL GLOBAL</t>
  </si>
  <si>
    <t>QUANTIDADE DE EMPREGADOS</t>
  </si>
  <si>
    <t>SALÁRIO HORA</t>
  </si>
  <si>
    <t>II - ENCARGOS SOCIAIS E TRABALHISTAS POR TRABALHADOR</t>
  </si>
  <si>
    <t>I - REMUNERAÇÃO POR TRABALHADOR</t>
  </si>
  <si>
    <t>SUBTOTAL POR TRABALHADOR</t>
  </si>
  <si>
    <t>O valor mensal corresponde à média das tarifas urbanas vigentes, multiplicado pela estimativa de quantidade mensal por trabalhador, deduzido o limite de 6% do salário do trabalhador.</t>
  </si>
  <si>
    <t>/</t>
  </si>
  <si>
    <t>*</t>
  </si>
  <si>
    <t>horas trabalhadas na semana</t>
  </si>
  <si>
    <t>dias trabalhados na semana</t>
  </si>
  <si>
    <t>média de dias de um mês</t>
  </si>
  <si>
    <t>44, 40, 36 ou 30</t>
  </si>
  <si>
    <t>30</t>
  </si>
  <si>
    <t>12</t>
  </si>
  <si>
    <t>meses do benefício</t>
  </si>
  <si>
    <t>acréscimo constitucional de 1/3</t>
  </si>
  <si>
    <t>=</t>
  </si>
  <si>
    <t>(1+(1/3))</t>
  </si>
  <si>
    <t>meses por ano</t>
  </si>
  <si>
    <t>4</t>
  </si>
  <si>
    <t>0,03</t>
  </si>
  <si>
    <t>média de incidência</t>
  </si>
  <si>
    <t xml:space="preserve">média de faltas anuais </t>
  </si>
  <si>
    <t>dias do benefício</t>
  </si>
  <si>
    <t>15</t>
  </si>
  <si>
    <t>0,08</t>
  </si>
  <si>
    <t>7</t>
  </si>
  <si>
    <t>0,5</t>
  </si>
  <si>
    <t>média das tarifas</t>
  </si>
  <si>
    <t>65</t>
  </si>
  <si>
    <t>R$</t>
  </si>
  <si>
    <t>-</t>
  </si>
  <si>
    <t>(salário * 0,06)</t>
  </si>
  <si>
    <t>valor unitário</t>
  </si>
  <si>
    <t>22</t>
  </si>
  <si>
    <t>quantidade de meses</t>
  </si>
  <si>
    <t>O valor mensal corresponde ao valor unitário do uniforme/conjunto, multiplicado pelo quantidade a ser distribuída no período e dividido pela quantidade de meses.</t>
  </si>
  <si>
    <t>quantidade de horas</t>
  </si>
  <si>
    <t>valor das horas extras e adicional noturno a ser recebido</t>
  </si>
  <si>
    <t>média de dias de repouso</t>
  </si>
  <si>
    <t>média de dias trabalhados</t>
  </si>
  <si>
    <t>salário</t>
  </si>
  <si>
    <t>0,3</t>
  </si>
  <si>
    <t>adicional de 30%</t>
  </si>
  <si>
    <t>% corresp. a insalubridade</t>
  </si>
  <si>
    <t>adicional noturno</t>
  </si>
  <si>
    <t>LEGISLAÇÃO</t>
  </si>
  <si>
    <t>CÁLCULO</t>
  </si>
  <si>
    <t>CÁLCULOS UTILIZADOS NA PLANILHA DE COMPOSIÇÃO DE PREÇOS</t>
  </si>
  <si>
    <t>REFERÊNCIA</t>
  </si>
  <si>
    <t>OBSERVAÇÕES:</t>
  </si>
  <si>
    <t>50% sobre a contribuição</t>
  </si>
  <si>
    <t>10, 20 ou 40%</t>
  </si>
  <si>
    <t>TOTAL I - REMUNERAÇÃO POR TRABALHADOR</t>
  </si>
  <si>
    <t>TOTAL II - ENCARGOS SOCIAIS E TRABALHISTAS POR TRABALHADOR</t>
  </si>
  <si>
    <t>número estimado de dias trabalhados  por mês</t>
  </si>
  <si>
    <t>parcela descontada do trabalhador</t>
  </si>
  <si>
    <t>quantidade média mensal estimada</t>
  </si>
  <si>
    <t>DESCONTADO DO TRABALHADOR</t>
  </si>
  <si>
    <t>QUANT</t>
  </si>
  <si>
    <t>VALOR UNIT.</t>
  </si>
  <si>
    <t>VALOR TOTAL</t>
  </si>
  <si>
    <t>Hora Extra 100%</t>
  </si>
  <si>
    <t>CLT art. 67</t>
  </si>
  <si>
    <t>Vale Alimentação</t>
  </si>
  <si>
    <t>TOTAL MENSAL POR TRABALHADOR</t>
  </si>
  <si>
    <t>JORNADA MENSAL</t>
  </si>
  <si>
    <t>360</t>
  </si>
  <si>
    <t>dias por ano</t>
  </si>
  <si>
    <t>6 ou 5</t>
  </si>
  <si>
    <t>Jornada Mensal</t>
  </si>
  <si>
    <t>Salário hora</t>
  </si>
  <si>
    <t>jornada mensal</t>
  </si>
  <si>
    <t>Uniformes</t>
  </si>
  <si>
    <t>Na ocorrência dos dois, é devido apenas o que for mais vantajoso para o trabalhador.</t>
  </si>
  <si>
    <t>Redução da jornada do trabalhador em 7 dias, ocorrendo somente nos casos de desativação da vaga/posto ou término do contrato.</t>
  </si>
  <si>
    <t>Salário do trabalhador dividido pela jornada mensal.</t>
  </si>
  <si>
    <t>Jornada mensal do trabalhador.</t>
  </si>
  <si>
    <t>FUNÇÃO</t>
  </si>
  <si>
    <t>FUNÇÃO(ÕES)</t>
  </si>
  <si>
    <t>Vale Transporte</t>
  </si>
  <si>
    <t>ENCARGOS TRABALHISTAS MENSAIS - PAGOS POR REEMBOLSO</t>
  </si>
  <si>
    <t>III - INSUMOS DE MÃO DE OBRA POR TRABALHADOR</t>
  </si>
  <si>
    <t>TOTAL III - INSUMOS DE MÃO DE OBRA POR TRABALHADOR</t>
  </si>
  <si>
    <t>JORNADA SEMANAL</t>
  </si>
  <si>
    <t>IV - SUBTOTAL POR TRABALHADOR</t>
  </si>
  <si>
    <t>benefício</t>
  </si>
  <si>
    <t>(13/12)</t>
  </si>
  <si>
    <t>contribuição de 8% para o FGTS</t>
  </si>
  <si>
    <t>salário + 13º + férias</t>
  </si>
  <si>
    <t>parcela desc. do trabalhador limitado a 6% do salário</t>
  </si>
  <si>
    <t>TRIBUTOS INCIDENTES SOBRE O FATURAMENTO</t>
  </si>
  <si>
    <t>13/12 do salário por ano, acrescido de 1/3 constitucional (12/12 devidos ao trabalhador e 1/12 devidos ao folguista).</t>
  </si>
  <si>
    <t>50% sobre o montante do FGTS, incidente sobre salário + 13º + férias.</t>
  </si>
  <si>
    <t>O valor mensal corresponde ao valor unitário do benefício, multiplicado pelo número estimado de dias trabalhados  por mês, deduzida a parcela descontada do trabalhador.</t>
  </si>
  <si>
    <t>13/12 do salário por ano (12/12 devidos ao trabalhador e 1/12 devidos ao folguista).</t>
  </si>
  <si>
    <t>quantidade a ser distribuída</t>
  </si>
  <si>
    <t>valor da hora</t>
  </si>
  <si>
    <t>quantidade de dias</t>
  </si>
  <si>
    <t>0,20</t>
  </si>
  <si>
    <t>CLT art. 73 § 1°</t>
  </si>
  <si>
    <t>MESES DE EXECUÇÃO</t>
  </si>
  <si>
    <t>horas por dia</t>
  </si>
  <si>
    <t xml:space="preserve">quantidade de horas realizadas no horário noturno </t>
  </si>
  <si>
    <t>QUANTIDADE</t>
  </si>
  <si>
    <t>% HE</t>
  </si>
  <si>
    <t xml:space="preserve">07- </t>
  </si>
  <si>
    <t>quantidade de horas trabalhadas durante a semana ultrapassa a jornada semanal</t>
  </si>
  <si>
    <t>A - quantidade de horas por dia</t>
  </si>
  <si>
    <t>B - quantidade de horas por semana</t>
  </si>
  <si>
    <t>C - jornada semanal</t>
  </si>
  <si>
    <t>D - horas extras por semana (B-C)</t>
  </si>
  <si>
    <t>E - quantidade de semanas</t>
  </si>
  <si>
    <t>F - horas extras por ano (D*E)</t>
  </si>
  <si>
    <t>G - horas extras por mês (F/12)</t>
  </si>
  <si>
    <t>A - quantidade de horas por dia (intrajornada)</t>
  </si>
  <si>
    <t>B - quantidade de dias trabalhados</t>
  </si>
  <si>
    <t>C - intra jornada mensal (A*B)</t>
  </si>
  <si>
    <t>hora trabalhada a mais no horario entre 22 as 05 horas</t>
  </si>
  <si>
    <t>A - quantidade de horas extras noturnas por dia</t>
  </si>
  <si>
    <t>C - quantidade total de horas por mês (A*B)</t>
  </si>
  <si>
    <t>A - quantidade de horas noturnas por dia</t>
  </si>
  <si>
    <t>B - quantidade de horas por dia</t>
  </si>
  <si>
    <t>(Fazer uma tabela para cada Função que tenha Hora Extra ou Adicional Noturno, adequando os cálculos à jornada do trabalhador)</t>
  </si>
  <si>
    <t>C - horas extras 100% mensal (A*B)</t>
  </si>
  <si>
    <t>Cálculo de Horas Extras e Adicional Noturno</t>
  </si>
  <si>
    <t>DOTAÇÃO</t>
  </si>
  <si>
    <t>unitário mensal</t>
  </si>
  <si>
    <t>valor total</t>
  </si>
  <si>
    <t>quant</t>
  </si>
  <si>
    <t>TOTAL ANUAL</t>
  </si>
  <si>
    <t xml:space="preserve">VALOR TOTAL </t>
  </si>
  <si>
    <t>VALE TRANSPORTE</t>
  </si>
  <si>
    <t>VALE ALIMENTAÇÃO</t>
  </si>
  <si>
    <t>UNIFORMES POR TRABALHADOR</t>
  </si>
  <si>
    <t>QUANTIDADE DE TRABALHADORES</t>
  </si>
  <si>
    <t>TOTAL MENSAL DE SALÁRIOS</t>
  </si>
  <si>
    <t>CONVENÇÃO COLETIVA VIGENTE</t>
  </si>
  <si>
    <t>CÉLULAS PARA PREENCHIMENTO DO LICITANTE, VEDADA QUALQUER ALTERAÇÃO NOS DEMAIS CAMPOS</t>
  </si>
  <si>
    <t>TOTAL DE TRABALHADORES:</t>
  </si>
  <si>
    <t>01</t>
  </si>
  <si>
    <t>02</t>
  </si>
  <si>
    <t>03</t>
  </si>
  <si>
    <t>04</t>
  </si>
  <si>
    <t>05</t>
  </si>
  <si>
    <t>06</t>
  </si>
  <si>
    <t>07</t>
  </si>
  <si>
    <t>24</t>
  </si>
  <si>
    <t>Indenizações  - rescisões s/ justa causa</t>
  </si>
  <si>
    <t>INSALUBRIDADE</t>
  </si>
  <si>
    <t>Incide sobre a quantidade total de horas realizadas no horário noturno (entre 22 até o fim da jornada), inclusive sobre as horas extras noturnas.</t>
  </si>
  <si>
    <t>PERICULOSIDADE</t>
  </si>
  <si>
    <t>SALÁRIO TOTAL</t>
  </si>
  <si>
    <t>SALÁRIO MÍNIMO</t>
  </si>
  <si>
    <t>SUBTOTAL MENSAL:</t>
  </si>
  <si>
    <t>TOTAL DO CONTRATO:</t>
  </si>
  <si>
    <t>RESUMO DA CONTRATAÇÃO:</t>
  </si>
  <si>
    <t>A - quantidade de horas extras por dia</t>
  </si>
  <si>
    <t>TOTAL DO TRIBUTOS</t>
  </si>
  <si>
    <t>Trabalho em condições de risco a integridade física, determinado por laudo pericial de Médico ou Engenheiro do Trabalho, registrado no Ministério do Trabalho. Assegura um adicional de 30% sobre o salário.</t>
  </si>
  <si>
    <t>CLT art. 193, 194 e 195</t>
  </si>
  <si>
    <t>CLT art. 189 a 192, 194 e 195</t>
  </si>
  <si>
    <t>Trabalho em condições de risco a saúde, determinado por laudo pericial de Médico ou Engenheiro do Trabalho, registrado no Ministério do Trabalho. Assegura um adicional de 40%, 20% ou 10% sobre o salário mínimo ou o salário normativo da categoria se expressamente estabelecido na CCT, conforme classificação do grau de insalubridade.</t>
  </si>
  <si>
    <t>salário mínimo ou o salário normativo da categoria se expressamente estabelecido na CCT</t>
  </si>
  <si>
    <t>Hora noturna adicional</t>
  </si>
  <si>
    <t>Hora adicional durante a vigência do horário noturno, pelo fato da hora possui 52:30 minutos entre 22 e 05 horas.</t>
  </si>
  <si>
    <t>Trabalho realizado além da jornada, remunerado com acréscimo de no mínimo 50% do valor da hora normal entre segundas e sábados e de 100% em domingos e feriados.</t>
  </si>
  <si>
    <t>HORA EXTRA 100%</t>
  </si>
  <si>
    <t>Trabalho realizado além da jornada aos domingos e feriados, remunerado com acréscimo de 100%.</t>
  </si>
  <si>
    <t>1,5 ou superior</t>
  </si>
  <si>
    <t>2</t>
  </si>
  <si>
    <t>Acréscimo de 50% ou superior se estabelecido pela CCT.</t>
  </si>
  <si>
    <t>Acréscimo de 100%</t>
  </si>
  <si>
    <t>Intrajornada</t>
  </si>
  <si>
    <t>ADICIONAL 100%</t>
  </si>
  <si>
    <t>Adicional 100%</t>
  </si>
  <si>
    <t>Hora Extra                      (trabalhadores 10hs/dia)</t>
  </si>
  <si>
    <t>HORA NOTURNA ADICIONAL</t>
  </si>
  <si>
    <t>ADICIONAL NOTURNO</t>
  </si>
  <si>
    <t>Trabalho realizado além da jornada entre segundas e sábados, remunerado com acréscimo mínimo de 50%.</t>
  </si>
  <si>
    <t>A - quantidade de dias trabalhados</t>
  </si>
  <si>
    <t>Adicional de 100% sobre trabalho realizado aos domingos e feriados.</t>
  </si>
  <si>
    <t>quantidade de dias trabalhados</t>
  </si>
  <si>
    <t>Poderá estar previsto na CCT</t>
  </si>
  <si>
    <t>Previsão de trabalho em domingos e feriados, quando estabelecida na CCT</t>
  </si>
  <si>
    <t>CF/88, art. 7º, inc. XVI</t>
  </si>
  <si>
    <t>CF/88, art. 7º, inc. IX</t>
  </si>
  <si>
    <t>CF/88, art. 7º, inc. XXIII</t>
  </si>
  <si>
    <t>CLT art. 392</t>
  </si>
  <si>
    <t>= 0,5524 (0,1111+0,0833+0,358)</t>
  </si>
  <si>
    <t>A empresa arca com as férias (11,11%), 13º (8,33%), encargos previdenciários e FGTS (35,8%) do período da licença, com média de incidência de 3% do total de empregados do contrato.</t>
  </si>
  <si>
    <t>% referente a férias, 13º, encargos previdenc. e FGTS</t>
  </si>
  <si>
    <t>5,96</t>
  </si>
  <si>
    <t>5 dias de licença por ano, com média de incidência de 1,5% do total de empregados do contrato. (média adotada pela planilha federal com base em pesquisa do IBGE)</t>
  </si>
  <si>
    <t>0,015</t>
  </si>
  <si>
    <t>15 dias de afastamento por ano, com média de incidência de 0,78% do total de empregados do contrato. (média adotada pela planilha federal com base em informações prestadas pelos empregadores, por meio da GFIP)</t>
  </si>
  <si>
    <t>0,0078</t>
  </si>
  <si>
    <t>(1 + 0,0833 + 0,1111)</t>
  </si>
  <si>
    <t>Média de 5,96 faltas anuais por motivo de doença. (média adotada pela planilha federal) JURISPRUDÊNCIA - TCU (Acórdão 1.753/2008 – Plenário)</t>
  </si>
  <si>
    <t>Média de 2,96 faltas anuais abonada por lei. JURISPRUDÊNCIA - TCU (Acórdão 1753/2008 – Plenário)</t>
  </si>
  <si>
    <t>2,96</t>
  </si>
  <si>
    <t>VI - TOTAL POR TRABALHADOR ANTES DOS IMPOSTOS</t>
  </si>
  <si>
    <t>TOTAL POR TRABALHADOR ANTES DOS IMPOSTOS</t>
  </si>
  <si>
    <t>VII - TRIBUTOS INCIDENTES SOBRE O FATURAMENTO</t>
  </si>
  <si>
    <t>VIII - TOTAL MENSAL POR TRABALHADOR</t>
  </si>
  <si>
    <t>DIVISOR: 100% - (% TOTAL DOS TRIBUTOS)</t>
  </si>
  <si>
    <t>(TOTAL POR TRABALHADOR ANTES DOS IMPOSTOS / DIVISOR)</t>
  </si>
  <si>
    <t>X - TOTAL GLOBAL</t>
  </si>
  <si>
    <t>IX - TOTAL MENSAL</t>
  </si>
  <si>
    <t>ADMINISTRAÇÃO</t>
  </si>
  <si>
    <t>A Administração proposta pelo licitante deverá contemplar os custos indiretos, o lucro e demais custos, benefícios e obrigações concedidos ou determinados na CCT e legislação vigente, não previstos na Planilha de Composição de Preços.</t>
  </si>
  <si>
    <t>Administração</t>
  </si>
  <si>
    <t>ADMINISTRAÇÃO - PERCENTUAL INCIDENTE SOBRE A REMUNERAÇÃO, ENCARGOS E INSUMOS</t>
  </si>
  <si>
    <t>V - ADMINISTRAÇÃO INCIDENTE SOBRE SUBTOTAL POR TRABALHADOR</t>
  </si>
  <si>
    <t>TOTAL ADMINISTRAÇÃO</t>
  </si>
  <si>
    <t>Incide sobre o valor das horas extras e adicional noturno a receber, estimando-se 24 dias úteis e 6 domingos/feriados por mês.</t>
  </si>
  <si>
    <t>6</t>
  </si>
  <si>
    <t>CÉLULAS PARA PREENCHIMENTO DO CONTRATANTE</t>
  </si>
  <si>
    <t>adicional recebido pelo trabalho entre 22 até as 05 horas</t>
  </si>
  <si>
    <t>ENCARGOS SOCIAIS</t>
  </si>
  <si>
    <t>ENCARGOS SOCIAIS PREVIDENCIÁRIOS E FGTS</t>
  </si>
  <si>
    <t xml:space="preserve">DESPESA MENSAL COM EQUIPAMENTOS E MATERIAIS </t>
  </si>
  <si>
    <t>O percentual da Administração proposta pelo licitante deverá ser informado com duas casas decimais, sendo vedado a utilização de três ou mais casas decimais</t>
  </si>
  <si>
    <t>ADMINISTRAÇÃO POR TRABALHADOR</t>
  </si>
  <si>
    <t>INTRAJORNADA (indenizatória)</t>
  </si>
  <si>
    <t>Demais custos e benefícios previstos na CCT (como seguro de vida)</t>
  </si>
  <si>
    <t>Outros custos ou benefícios da CCT</t>
  </si>
  <si>
    <t>A intrajornada poderá ser lançada como Hora Extra, nos casos de possuir características remuneratórias, ou  como "outros custos ou benefícios da CCT", nos casos de possuir características indenizatórias</t>
  </si>
  <si>
    <t>Trabalhador não tem hora de descanso dentro da própria jornada.
A intrajornada poderá ser lançada como Hora Extra, nos casos de possuir características remuneratórias, ou  como "outros custos ou benefícios da CCT", nos casos de possuir características indenizatórias</t>
  </si>
  <si>
    <t>HORA EXTRA e INTRAJORNADA (remuneratória)</t>
  </si>
  <si>
    <t>ISS</t>
  </si>
  <si>
    <t>ISS (não pode ser alterado)</t>
  </si>
  <si>
    <t>% DESCONTO</t>
  </si>
  <si>
    <t>Equipamento ou Material</t>
  </si>
  <si>
    <t>Valor Mensal</t>
  </si>
  <si>
    <t>A coluna "Valor Mensal" é de preencimento da contratada.</t>
  </si>
  <si>
    <t>O VALOR MENSAL proposto deverá incluir administração e impostos.</t>
  </si>
  <si>
    <t>A coluna "Equipamento ou Material" é de preenchimento do contratante, vedado a alteração pelo contratado.</t>
  </si>
  <si>
    <t>Sindeac</t>
  </si>
  <si>
    <t>06-</t>
  </si>
  <si>
    <t>01- RECEPCIONISTA / ATENDENTE</t>
  </si>
  <si>
    <t>05-</t>
  </si>
  <si>
    <t>3103.1100.13.122.146.2.900.0001.339037-03 1.500.000 CO: 0000</t>
  </si>
  <si>
    <t>CONDIÇÕES GERAIS PARA O CONTRATO</t>
  </si>
  <si>
    <t>FUNDAÇÃO MUNICIPAL DE CULTURA</t>
  </si>
  <si>
    <t>PROPOSTA DA EMPRESA</t>
  </si>
  <si>
    <t>TOTAL MENSAL GERAL</t>
  </si>
  <si>
    <t>PAF (CCT2024, Cláus. 14ª, §4º)</t>
  </si>
  <si>
    <r>
      <t xml:space="preserve">Contr. Ass. Patronal (CCT2024, Cláus. 55ª, </t>
    </r>
    <r>
      <rPr>
        <i/>
        <sz val="10"/>
        <rFont val="Calibri"/>
        <family val="2"/>
      </rPr>
      <t>caput</t>
    </r>
    <r>
      <rPr>
        <sz val="10"/>
        <rFont val="Calibri"/>
        <family val="2"/>
      </rPr>
      <t>)</t>
    </r>
  </si>
  <si>
    <t>03-  XXXXXX</t>
  </si>
  <si>
    <t>04- XXXXXX</t>
  </si>
  <si>
    <t>SECRETARIA MUNICIPAL DE CULTURA</t>
  </si>
  <si>
    <t>02-  SUPERVISOR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</si>
</sst>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 &quot;#,##0.00"/>
    <numFmt numFmtId="167" formatCode="0.0"/>
    <numFmt numFmtId="168" formatCode="0.000000"/>
    <numFmt numFmtId="169" formatCode="&quot;R$&quot;\ #,##0.00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Calibri"/>
      <family val="2"/>
    </font>
    <font>
      <b/>
      <sz val="14"/>
      <color indexed="8"/>
      <name val="Calibri"/>
      <family val="2"/>
    </font>
    <font>
      <i/>
      <sz val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0070C0"/>
      <name val="Calibri"/>
      <family val="2"/>
    </font>
    <font>
      <b/>
      <sz val="10"/>
      <color rgb="FF0070C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B05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">
    <xf numFmtId="0" fontId="0" fillId="0" borderId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1" fillId="0" borderId="0" applyFont="0" applyFill="0" applyBorder="0" applyAlignment="0" applyProtection="0"/>
  </cellStyleXfs>
  <cellXfs count="426">
    <xf numFmtId="0" fontId="0" fillId="0" borderId="0" xfId="0"/>
    <xf numFmtId="0" fontId="13" fillId="0" borderId="0" xfId="0" applyFont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2" xfId="11" applyFont="1" applyBorder="1" applyAlignment="1">
      <alignment horizontal="center" vertical="center"/>
    </xf>
    <xf numFmtId="166" fontId="15" fillId="0" borderId="1" xfId="2" applyNumberFormat="1" applyFont="1" applyFill="1" applyBorder="1" applyAlignment="1">
      <alignment vertical="center"/>
    </xf>
    <xf numFmtId="0" fontId="15" fillId="0" borderId="1" xfId="16" applyFont="1" applyBorder="1" applyAlignment="1">
      <alignment horizontal="center" vertical="center"/>
    </xf>
    <xf numFmtId="10" fontId="15" fillId="0" borderId="1" xfId="16" applyNumberFormat="1" applyFont="1" applyBorder="1" applyAlignment="1">
      <alignment horizontal="center" vertical="center"/>
    </xf>
    <xf numFmtId="166" fontId="15" fillId="0" borderId="1" xfId="4" applyNumberFormat="1" applyFont="1" applyFill="1" applyBorder="1" applyAlignment="1">
      <alignment horizontal="right" vertical="center"/>
    </xf>
    <xf numFmtId="0" fontId="16" fillId="0" borderId="1" xfId="16" applyFont="1" applyBorder="1" applyAlignment="1">
      <alignment vertical="center"/>
    </xf>
    <xf numFmtId="10" fontId="16" fillId="0" borderId="1" xfId="16" applyNumberFormat="1" applyFont="1" applyBorder="1" applyAlignment="1">
      <alignment horizontal="center" vertical="center"/>
    </xf>
    <xf numFmtId="166" fontId="16" fillId="0" borderId="1" xfId="16" applyNumberFormat="1" applyFont="1" applyBorder="1" applyAlignment="1">
      <alignment horizontal="center" vertical="center"/>
    </xf>
    <xf numFmtId="0" fontId="16" fillId="0" borderId="1" xfId="17" applyFont="1" applyBorder="1" applyAlignment="1">
      <alignment vertical="center"/>
    </xf>
    <xf numFmtId="10" fontId="16" fillId="0" borderId="1" xfId="17" applyNumberFormat="1" applyFont="1" applyBorder="1" applyAlignment="1">
      <alignment horizontal="center" vertical="center"/>
    </xf>
    <xf numFmtId="166" fontId="16" fillId="0" borderId="1" xfId="5" applyNumberFormat="1" applyFont="1" applyFill="1" applyBorder="1" applyAlignment="1">
      <alignment horizontal="center" vertical="center"/>
    </xf>
    <xf numFmtId="10" fontId="15" fillId="0" borderId="1" xfId="25" applyNumberFormat="1" applyFont="1" applyFill="1" applyBorder="1" applyAlignment="1">
      <alignment horizontal="center" vertical="center"/>
    </xf>
    <xf numFmtId="0" fontId="16" fillId="0" borderId="1" xfId="18" applyFont="1" applyBorder="1" applyAlignment="1">
      <alignment vertical="center"/>
    </xf>
    <xf numFmtId="10" fontId="16" fillId="0" borderId="1" xfId="18" applyNumberFormat="1" applyFont="1" applyBorder="1" applyAlignment="1">
      <alignment horizontal="center" vertical="center"/>
    </xf>
    <xf numFmtId="166" fontId="16" fillId="0" borderId="1" xfId="18" applyNumberFormat="1" applyFont="1" applyBorder="1" applyAlignment="1">
      <alignment horizontal="center" vertical="center"/>
    </xf>
    <xf numFmtId="0" fontId="15" fillId="0" borderId="1" xfId="19" applyFont="1" applyBorder="1" applyAlignment="1">
      <alignment vertical="center" wrapText="1"/>
    </xf>
    <xf numFmtId="0" fontId="16" fillId="0" borderId="1" xfId="19" applyFont="1" applyBorder="1" applyAlignment="1">
      <alignment vertical="center"/>
    </xf>
    <xf numFmtId="10" fontId="16" fillId="0" borderId="1" xfId="19" applyNumberFormat="1" applyFont="1" applyBorder="1" applyAlignment="1">
      <alignment horizontal="center" vertical="center"/>
    </xf>
    <xf numFmtId="166" fontId="16" fillId="0" borderId="1" xfId="19" applyNumberFormat="1" applyFont="1" applyBorder="1" applyAlignment="1">
      <alignment horizontal="center" vertical="center"/>
    </xf>
    <xf numFmtId="0" fontId="15" fillId="0" borderId="1" xfId="11" applyFont="1" applyBorder="1" applyAlignment="1">
      <alignment horizontal="center" vertical="center"/>
    </xf>
    <xf numFmtId="166" fontId="15" fillId="0" borderId="1" xfId="3" applyNumberFormat="1" applyFont="1" applyFill="1" applyBorder="1" applyAlignment="1">
      <alignment vertical="center"/>
    </xf>
    <xf numFmtId="0" fontId="15" fillId="0" borderId="3" xfId="22" applyFont="1" applyBorder="1" applyAlignment="1">
      <alignment vertical="center"/>
    </xf>
    <xf numFmtId="10" fontId="15" fillId="0" borderId="1" xfId="22" applyNumberFormat="1" applyFont="1" applyBorder="1" applyAlignment="1">
      <alignment horizontal="center" vertical="center"/>
    </xf>
    <xf numFmtId="166" fontId="15" fillId="0" borderId="1" xfId="10" applyNumberFormat="1" applyFont="1" applyFill="1" applyBorder="1" applyAlignment="1">
      <alignment horizontal="right" vertical="center"/>
    </xf>
    <xf numFmtId="10" fontId="16" fillId="0" borderId="1" xfId="22" applyNumberFormat="1" applyFont="1" applyBorder="1" applyAlignment="1">
      <alignment horizontal="center" vertical="center"/>
    </xf>
    <xf numFmtId="0" fontId="15" fillId="0" borderId="4" xfId="22" applyFont="1" applyBorder="1" applyAlignment="1">
      <alignment horizontal="center" vertical="center"/>
    </xf>
    <xf numFmtId="0" fontId="15" fillId="0" borderId="5" xfId="22" applyFont="1" applyBorder="1" applyAlignment="1">
      <alignment horizontal="center" vertical="center"/>
    </xf>
    <xf numFmtId="166" fontId="16" fillId="0" borderId="1" xfId="3" applyNumberFormat="1" applyFont="1" applyFill="1" applyBorder="1" applyAlignment="1">
      <alignment horizontal="center" vertical="center"/>
    </xf>
    <xf numFmtId="166" fontId="16" fillId="0" borderId="1" xfId="22" applyNumberFormat="1" applyFont="1" applyBorder="1" applyAlignment="1">
      <alignment horizontal="center" vertical="center"/>
    </xf>
    <xf numFmtId="166" fontId="16" fillId="0" borderId="1" xfId="2" applyNumberFormat="1" applyFont="1" applyFill="1" applyBorder="1" applyAlignment="1">
      <alignment horizontal="center" vertical="center"/>
    </xf>
    <xf numFmtId="0" fontId="15" fillId="0" borderId="1" xfId="19" applyFont="1" applyBorder="1" applyAlignment="1">
      <alignment horizontal="center" vertical="center" wrapText="1"/>
    </xf>
    <xf numFmtId="10" fontId="15" fillId="0" borderId="1" xfId="19" applyNumberFormat="1" applyFont="1" applyBorder="1" applyAlignment="1">
      <alignment horizontal="center" vertical="center" wrapText="1"/>
    </xf>
    <xf numFmtId="166" fontId="15" fillId="0" borderId="1" xfId="4" applyNumberFormat="1" applyFont="1" applyFill="1" applyBorder="1" applyAlignment="1">
      <alignment horizontal="right" vertical="center" wrapText="1"/>
    </xf>
    <xf numFmtId="10" fontId="15" fillId="0" borderId="1" xfId="16" applyNumberFormat="1" applyFont="1" applyBorder="1" applyAlignment="1">
      <alignment horizontal="left" vertical="center"/>
    </xf>
    <xf numFmtId="10" fontId="15" fillId="0" borderId="1" xfId="25" applyNumberFormat="1" applyFont="1" applyFill="1" applyBorder="1" applyAlignment="1">
      <alignment horizontal="left" vertical="center"/>
    </xf>
    <xf numFmtId="166" fontId="15" fillId="0" borderId="2" xfId="11" applyNumberFormat="1" applyFont="1" applyBorder="1" applyAlignment="1">
      <alignment vertical="center"/>
    </xf>
    <xf numFmtId="166" fontId="15" fillId="0" borderId="2" xfId="19" applyNumberFormat="1" applyFont="1" applyBorder="1" applyAlignment="1">
      <alignment vertical="center"/>
    </xf>
    <xf numFmtId="0" fontId="15" fillId="0" borderId="3" xfId="11" applyFont="1" applyBorder="1" applyAlignment="1">
      <alignment vertical="center"/>
    </xf>
    <xf numFmtId="0" fontId="15" fillId="0" borderId="6" xfId="11" applyFont="1" applyBorder="1" applyAlignment="1">
      <alignment vertical="center"/>
    </xf>
    <xf numFmtId="0" fontId="15" fillId="0" borderId="3" xfId="19" applyFont="1" applyBorder="1" applyAlignment="1">
      <alignment vertical="center"/>
    </xf>
    <xf numFmtId="0" fontId="15" fillId="0" borderId="6" xfId="19" applyFont="1" applyBorder="1" applyAlignment="1">
      <alignment vertical="center"/>
    </xf>
    <xf numFmtId="0" fontId="15" fillId="0" borderId="2" xfId="11" applyFont="1" applyBorder="1" applyAlignment="1">
      <alignment vertical="center"/>
    </xf>
    <xf numFmtId="0" fontId="16" fillId="0" borderId="3" xfId="11" applyFont="1" applyBorder="1" applyAlignment="1">
      <alignment vertical="center"/>
    </xf>
    <xf numFmtId="0" fontId="16" fillId="0" borderId="6" xfId="11" applyFont="1" applyBorder="1" applyAlignment="1">
      <alignment vertical="center"/>
    </xf>
    <xf numFmtId="0" fontId="16" fillId="0" borderId="2" xfId="11" applyFont="1" applyBorder="1" applyAlignment="1">
      <alignment vertical="center"/>
    </xf>
    <xf numFmtId="0" fontId="16" fillId="0" borderId="3" xfId="19" applyFont="1" applyBorder="1" applyAlignment="1">
      <alignment vertical="center"/>
    </xf>
    <xf numFmtId="0" fontId="16" fillId="0" borderId="6" xfId="19" applyFont="1" applyBorder="1" applyAlignment="1">
      <alignment vertical="center"/>
    </xf>
    <xf numFmtId="0" fontId="16" fillId="0" borderId="2" xfId="19" applyFont="1" applyBorder="1" applyAlignment="1">
      <alignment vertical="center"/>
    </xf>
    <xf numFmtId="49" fontId="15" fillId="0" borderId="3" xfId="12" applyNumberFormat="1" applyFont="1" applyBorder="1" applyAlignment="1">
      <alignment vertical="center"/>
    </xf>
    <xf numFmtId="10" fontId="13" fillId="0" borderId="0" xfId="0" applyNumberFormat="1" applyFont="1" applyAlignment="1">
      <alignment horizontal="center" vertical="center" wrapText="1"/>
    </xf>
    <xf numFmtId="10" fontId="15" fillId="0" borderId="4" xfId="17" applyNumberFormat="1" applyFont="1" applyBorder="1" applyAlignment="1">
      <alignment horizontal="center" vertical="center" wrapText="1"/>
    </xf>
    <xf numFmtId="10" fontId="13" fillId="0" borderId="7" xfId="0" applyNumberFormat="1" applyFont="1" applyBorder="1" applyAlignment="1">
      <alignment horizontal="center" vertical="center" wrapText="1"/>
    </xf>
    <xf numFmtId="10" fontId="15" fillId="0" borderId="4" xfId="25" applyNumberFormat="1" applyFont="1" applyFill="1" applyBorder="1" applyAlignment="1">
      <alignment horizontal="center" vertical="center" wrapText="1"/>
    </xf>
    <xf numFmtId="10" fontId="13" fillId="0" borderId="4" xfId="0" applyNumberFormat="1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66" fontId="13" fillId="0" borderId="0" xfId="0" applyNumberFormat="1" applyFont="1" applyAlignment="1">
      <alignment vertical="center"/>
    </xf>
    <xf numFmtId="166" fontId="14" fillId="0" borderId="2" xfId="0" applyNumberFormat="1" applyFont="1" applyBorder="1" applyAlignment="1">
      <alignment horizontal="center" vertical="center"/>
    </xf>
    <xf numFmtId="166" fontId="15" fillId="0" borderId="1" xfId="12" applyNumberFormat="1" applyFont="1" applyBorder="1" applyAlignment="1">
      <alignment vertical="center"/>
    </xf>
    <xf numFmtId="0" fontId="15" fillId="0" borderId="3" xfId="12" applyFont="1" applyBorder="1" applyAlignment="1">
      <alignment vertical="center"/>
    </xf>
    <xf numFmtId="9" fontId="15" fillId="0" borderId="3" xfId="12" applyNumberFormat="1" applyFont="1" applyBorder="1" applyAlignment="1">
      <alignment vertical="center"/>
    </xf>
    <xf numFmtId="10" fontId="14" fillId="0" borderId="2" xfId="23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166" fontId="14" fillId="0" borderId="1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10" xfId="0" applyFont="1" applyBorder="1" applyAlignment="1">
      <alignment vertical="center"/>
    </xf>
    <xf numFmtId="10" fontId="14" fillId="0" borderId="4" xfId="23" applyNumberFormat="1" applyFont="1" applyFill="1" applyBorder="1" applyAlignment="1">
      <alignment horizontal="center" vertical="center" wrapText="1"/>
    </xf>
    <xf numFmtId="166" fontId="14" fillId="0" borderId="4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10" fontId="14" fillId="0" borderId="7" xfId="23" applyNumberFormat="1" applyFont="1" applyFill="1" applyBorder="1" applyAlignment="1">
      <alignment horizontal="center" vertical="center" wrapText="1"/>
    </xf>
    <xf numFmtId="166" fontId="14" fillId="0" borderId="7" xfId="0" applyNumberFormat="1" applyFont="1" applyBorder="1" applyAlignment="1">
      <alignment horizontal="center" vertical="center"/>
    </xf>
    <xf numFmtId="0" fontId="15" fillId="0" borderId="8" xfId="17" applyFont="1" applyBorder="1" applyAlignment="1">
      <alignment vertical="center" wrapText="1"/>
    </xf>
    <xf numFmtId="0" fontId="15" fillId="0" borderId="11" xfId="17" applyFont="1" applyBorder="1" applyAlignment="1">
      <alignment vertical="center" wrapText="1"/>
    </xf>
    <xf numFmtId="0" fontId="15" fillId="0" borderId="8" xfId="18" applyFont="1" applyBorder="1" applyAlignment="1">
      <alignment vertical="center" wrapText="1"/>
    </xf>
    <xf numFmtId="0" fontId="15" fillId="0" borderId="11" xfId="18" applyFont="1" applyBorder="1" applyAlignment="1">
      <alignment vertical="center" wrapText="1"/>
    </xf>
    <xf numFmtId="49" fontId="15" fillId="0" borderId="8" xfId="12" applyNumberFormat="1" applyFont="1" applyBorder="1" applyAlignment="1">
      <alignment horizontal="left" vertical="center"/>
    </xf>
    <xf numFmtId="49" fontId="15" fillId="0" borderId="11" xfId="12" applyNumberFormat="1" applyFont="1" applyBorder="1" applyAlignment="1">
      <alignment horizontal="left" vertical="center"/>
    </xf>
    <xf numFmtId="49" fontId="15" fillId="0" borderId="8" xfId="12" applyNumberFormat="1" applyFont="1" applyBorder="1" applyAlignment="1">
      <alignment horizontal="left" vertical="center" wrapText="1"/>
    </xf>
    <xf numFmtId="49" fontId="15" fillId="0" borderId="11" xfId="12" applyNumberFormat="1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/>
    </xf>
    <xf numFmtId="0" fontId="13" fillId="0" borderId="8" xfId="0" applyFont="1" applyBorder="1" applyAlignment="1">
      <alignment vertical="center" wrapText="1"/>
    </xf>
    <xf numFmtId="166" fontId="13" fillId="0" borderId="7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vertical="center"/>
    </xf>
    <xf numFmtId="49" fontId="13" fillId="0" borderId="2" xfId="0" applyNumberFormat="1" applyFont="1" applyBorder="1" applyAlignment="1">
      <alignment vertical="center"/>
    </xf>
    <xf numFmtId="166" fontId="16" fillId="0" borderId="1" xfId="11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6" fillId="0" borderId="1" xfId="16" applyFont="1" applyBorder="1" applyAlignment="1">
      <alignment horizontal="center" vertical="center"/>
    </xf>
    <xf numFmtId="0" fontId="16" fillId="0" borderId="3" xfId="12" applyFont="1" applyBorder="1" applyAlignment="1">
      <alignment vertical="center"/>
    </xf>
    <xf numFmtId="0" fontId="16" fillId="0" borderId="6" xfId="12" applyFont="1" applyBorder="1" applyAlignment="1">
      <alignment vertical="center"/>
    </xf>
    <xf numFmtId="0" fontId="16" fillId="0" borderId="1" xfId="12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6" fillId="0" borderId="1" xfId="22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49" fontId="19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7" fillId="0" borderId="4" xfId="0" quotePrefix="1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49" fontId="13" fillId="0" borderId="0" xfId="0" applyNumberFormat="1" applyFont="1" applyAlignment="1">
      <alignment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7" fillId="0" borderId="7" xfId="0" quotePrefix="1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4" xfId="0" applyFont="1" applyBorder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13" fillId="0" borderId="7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0" fontId="14" fillId="0" borderId="1" xfId="23" applyNumberFormat="1" applyFont="1" applyFill="1" applyBorder="1" applyAlignment="1">
      <alignment horizontal="center" vertical="center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vertical="center" wrapText="1"/>
    </xf>
    <xf numFmtId="49" fontId="13" fillId="0" borderId="4" xfId="0" applyNumberFormat="1" applyFont="1" applyBorder="1" applyAlignment="1">
      <alignment vertical="center" wrapText="1"/>
    </xf>
    <xf numFmtId="0" fontId="13" fillId="0" borderId="14" xfId="0" applyFont="1" applyBorder="1" applyAlignment="1">
      <alignment vertical="top" wrapText="1"/>
    </xf>
    <xf numFmtId="0" fontId="13" fillId="0" borderId="5" xfId="0" applyFont="1" applyBorder="1" applyAlignment="1">
      <alignment horizontal="left" vertical="center" wrapText="1"/>
    </xf>
    <xf numFmtId="10" fontId="13" fillId="0" borderId="14" xfId="0" applyNumberFormat="1" applyFont="1" applyBorder="1" applyAlignment="1">
      <alignment horizontal="center" vertical="center" wrapText="1"/>
    </xf>
    <xf numFmtId="0" fontId="15" fillId="0" borderId="1" xfId="12" quotePrefix="1" applyFont="1" applyBorder="1" applyAlignment="1">
      <alignment horizontal="center" vertical="center"/>
    </xf>
    <xf numFmtId="166" fontId="14" fillId="0" borderId="4" xfId="0" quotePrefix="1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vertical="center"/>
    </xf>
    <xf numFmtId="1" fontId="13" fillId="0" borderId="7" xfId="0" applyNumberFormat="1" applyFont="1" applyBorder="1" applyAlignment="1">
      <alignment horizontal="center" vertical="center" wrapText="1"/>
    </xf>
    <xf numFmtId="1" fontId="15" fillId="0" borderId="1" xfId="11" applyNumberFormat="1" applyFont="1" applyBorder="1" applyAlignment="1">
      <alignment horizontal="center" vertical="center"/>
    </xf>
    <xf numFmtId="0" fontId="16" fillId="0" borderId="1" xfId="11" applyFont="1" applyBorder="1" applyAlignment="1">
      <alignment horizontal="center" vertical="center"/>
    </xf>
    <xf numFmtId="0" fontId="15" fillId="0" borderId="1" xfId="17" applyFont="1" applyBorder="1" applyAlignment="1">
      <alignment horizontal="center" vertical="center"/>
    </xf>
    <xf numFmtId="0" fontId="15" fillId="0" borderId="1" xfId="18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4" borderId="1" xfId="0" applyFill="1" applyBorder="1" applyAlignment="1">
      <alignment horizontal="center"/>
    </xf>
    <xf numFmtId="0" fontId="17" fillId="0" borderId="0" xfId="0" applyFont="1" applyAlignment="1">
      <alignment vertical="center"/>
    </xf>
    <xf numFmtId="0" fontId="16" fillId="0" borderId="8" xfId="11" applyFont="1" applyBorder="1" applyAlignment="1">
      <alignment vertical="center"/>
    </xf>
    <xf numFmtId="0" fontId="16" fillId="0" borderId="11" xfId="11" applyFont="1" applyBorder="1" applyAlignment="1">
      <alignment vertical="center"/>
    </xf>
    <xf numFmtId="0" fontId="15" fillId="0" borderId="1" xfId="11" applyFont="1" applyBorder="1" applyAlignment="1">
      <alignment vertical="center"/>
    </xf>
    <xf numFmtId="168" fontId="13" fillId="0" borderId="7" xfId="0" applyNumberFormat="1" applyFont="1" applyBorder="1" applyAlignment="1">
      <alignment horizontal="center" vertical="center" wrapText="1"/>
    </xf>
    <xf numFmtId="10" fontId="13" fillId="0" borderId="8" xfId="0" applyNumberFormat="1" applyFont="1" applyBorder="1" applyAlignment="1">
      <alignment horizontal="center" vertical="center" wrapText="1"/>
    </xf>
    <xf numFmtId="10" fontId="13" fillId="0" borderId="11" xfId="0" applyNumberFormat="1" applyFont="1" applyBorder="1" applyAlignment="1">
      <alignment horizontal="center" vertical="center" wrapText="1"/>
    </xf>
    <xf numFmtId="10" fontId="20" fillId="0" borderId="1" xfId="23" applyNumberFormat="1" applyFont="1" applyFill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0" fontId="16" fillId="0" borderId="2" xfId="22" applyFont="1" applyBorder="1" applyAlignment="1">
      <alignment horizontal="center" vertical="center"/>
    </xf>
    <xf numFmtId="10" fontId="20" fillId="0" borderId="2" xfId="23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169" fontId="19" fillId="0" borderId="0" xfId="0" applyNumberFormat="1" applyFont="1" applyAlignment="1">
      <alignment vertical="center"/>
    </xf>
    <xf numFmtId="169" fontId="0" fillId="0" borderId="0" xfId="0" applyNumberFormat="1"/>
    <xf numFmtId="169" fontId="0" fillId="5" borderId="1" xfId="0" applyNumberFormat="1" applyFill="1" applyBorder="1"/>
    <xf numFmtId="169" fontId="12" fillId="6" borderId="1" xfId="0" applyNumberFormat="1" applyFont="1" applyFill="1" applyBorder="1" applyAlignment="1">
      <alignment horizontal="center"/>
    </xf>
    <xf numFmtId="0" fontId="0" fillId="4" borderId="1" xfId="0" applyFill="1" applyBorder="1"/>
    <xf numFmtId="0" fontId="0" fillId="7" borderId="1" xfId="0" applyFill="1" applyBorder="1"/>
    <xf numFmtId="0" fontId="12" fillId="4" borderId="1" xfId="0" applyFont="1" applyFill="1" applyBorder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3" fillId="0" borderId="0" xfId="0" applyFont="1" applyAlignment="1">
      <alignment vertical="top" wrapText="1"/>
    </xf>
    <xf numFmtId="166" fontId="13" fillId="0" borderId="0" xfId="0" applyNumberFormat="1" applyFont="1" applyAlignment="1">
      <alignment vertical="top" wrapText="1"/>
    </xf>
    <xf numFmtId="0" fontId="13" fillId="0" borderId="1" xfId="0" applyFont="1" applyBorder="1" applyAlignment="1">
      <alignment horizontal="left" vertical="top"/>
    </xf>
    <xf numFmtId="1" fontId="13" fillId="8" borderId="1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Border="1" applyAlignment="1">
      <alignment horizontal="left" vertical="top"/>
    </xf>
    <xf numFmtId="166" fontId="13" fillId="0" borderId="1" xfId="0" applyNumberFormat="1" applyFont="1" applyBorder="1" applyAlignment="1">
      <alignment horizontal="right" vertical="top" wrapText="1"/>
    </xf>
    <xf numFmtId="10" fontId="19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top"/>
    </xf>
    <xf numFmtId="0" fontId="22" fillId="0" borderId="3" xfId="22" applyFont="1" applyBorder="1" applyAlignment="1">
      <alignment vertical="center"/>
    </xf>
    <xf numFmtId="10" fontId="22" fillId="0" borderId="1" xfId="22" applyNumberFormat="1" applyFont="1" applyBorder="1" applyAlignment="1">
      <alignment horizontal="center" vertical="center"/>
    </xf>
    <xf numFmtId="0" fontId="21" fillId="0" borderId="1" xfId="22" applyFont="1" applyBorder="1" applyAlignment="1">
      <alignment vertical="center"/>
    </xf>
    <xf numFmtId="10" fontId="21" fillId="0" borderId="1" xfId="22" applyNumberFormat="1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1" fillId="0" borderId="0" xfId="22" applyFont="1" applyAlignment="1">
      <alignment vertical="center"/>
    </xf>
    <xf numFmtId="10" fontId="21" fillId="0" borderId="0" xfId="22" applyNumberFormat="1" applyFont="1" applyAlignment="1">
      <alignment horizontal="center" vertical="center"/>
    </xf>
    <xf numFmtId="3" fontId="23" fillId="0" borderId="0" xfId="0" applyNumberFormat="1" applyFont="1" applyAlignment="1">
      <alignment horizontal="left" vertical="center" wrapText="1"/>
    </xf>
    <xf numFmtId="166" fontId="23" fillId="0" borderId="0" xfId="0" applyNumberFormat="1" applyFont="1" applyAlignment="1">
      <alignment horizontal="left" vertical="center" wrapText="1"/>
    </xf>
    <xf numFmtId="10" fontId="22" fillId="8" borderId="1" xfId="16" applyNumberFormat="1" applyFont="1" applyFill="1" applyBorder="1" applyAlignment="1" applyProtection="1">
      <alignment horizontal="center" vertical="center"/>
      <protection locked="0"/>
    </xf>
    <xf numFmtId="10" fontId="19" fillId="8" borderId="1" xfId="23" applyNumberFormat="1" applyFont="1" applyFill="1" applyBorder="1" applyAlignment="1" applyProtection="1">
      <alignment horizontal="center" vertical="center" wrapText="1"/>
      <protection locked="0"/>
    </xf>
    <xf numFmtId="1" fontId="13" fillId="8" borderId="1" xfId="0" applyNumberFormat="1" applyFont="1" applyFill="1" applyBorder="1" applyAlignment="1" applyProtection="1">
      <alignment horizontal="center" vertical="top" wrapText="1"/>
      <protection locked="0"/>
    </xf>
    <xf numFmtId="0" fontId="24" fillId="0" borderId="0" xfId="0" applyFont="1" applyAlignment="1">
      <alignment vertical="top"/>
    </xf>
    <xf numFmtId="0" fontId="25" fillId="0" borderId="0" xfId="0" applyFont="1" applyAlignment="1">
      <alignment vertical="top"/>
    </xf>
    <xf numFmtId="0" fontId="15" fillId="0" borderId="0" xfId="13" applyFont="1" applyAlignment="1">
      <alignment vertical="top" wrapText="1"/>
    </xf>
    <xf numFmtId="0" fontId="15" fillId="0" borderId="0" xfId="13" applyFont="1" applyAlignment="1">
      <alignment horizontal="center" vertical="top" wrapText="1"/>
    </xf>
    <xf numFmtId="49" fontId="15" fillId="10" borderId="1" xfId="13" applyNumberFormat="1" applyFont="1" applyFill="1" applyBorder="1" applyAlignment="1">
      <alignment horizontal="center" vertical="top" wrapText="1"/>
    </xf>
    <xf numFmtId="49" fontId="26" fillId="10" borderId="1" xfId="0" applyNumberFormat="1" applyFont="1" applyFill="1" applyBorder="1" applyAlignment="1">
      <alignment horizontal="center" vertical="top" wrapText="1"/>
    </xf>
    <xf numFmtId="49" fontId="13" fillId="10" borderId="1" xfId="0" applyNumberFormat="1" applyFont="1" applyFill="1" applyBorder="1" applyAlignment="1">
      <alignment horizontal="center" vertical="top" wrapText="1"/>
    </xf>
    <xf numFmtId="166" fontId="27" fillId="3" borderId="1" xfId="0" applyNumberFormat="1" applyFont="1" applyFill="1" applyBorder="1" applyAlignment="1">
      <alignment horizontal="center" vertical="top" wrapText="1"/>
    </xf>
    <xf numFmtId="166" fontId="4" fillId="3" borderId="1" xfId="0" applyNumberFormat="1" applyFont="1" applyFill="1" applyBorder="1" applyAlignment="1">
      <alignment horizontal="center" vertical="top" wrapText="1"/>
    </xf>
    <xf numFmtId="0" fontId="15" fillId="0" borderId="3" xfId="13" applyFont="1" applyBorder="1" applyAlignment="1">
      <alignment vertical="top"/>
    </xf>
    <xf numFmtId="0" fontId="15" fillId="10" borderId="1" xfId="13" applyFont="1" applyFill="1" applyBorder="1" applyAlignment="1">
      <alignment horizontal="center" vertical="top"/>
    </xf>
    <xf numFmtId="14" fontId="26" fillId="10" borderId="1" xfId="0" applyNumberFormat="1" applyFont="1" applyFill="1" applyBorder="1" applyAlignment="1">
      <alignment horizontal="center" vertical="top" wrapText="1"/>
    </xf>
    <xf numFmtId="17" fontId="13" fillId="10" borderId="1" xfId="0" applyNumberFormat="1" applyFont="1" applyFill="1" applyBorder="1" applyAlignment="1">
      <alignment horizontal="center" vertical="top" wrapText="1"/>
    </xf>
    <xf numFmtId="166" fontId="28" fillId="10" borderId="1" xfId="0" applyNumberFormat="1" applyFont="1" applyFill="1" applyBorder="1" applyAlignment="1">
      <alignment horizontal="right" vertical="top" wrapText="1"/>
    </xf>
    <xf numFmtId="166" fontId="13" fillId="10" borderId="1" xfId="0" applyNumberFormat="1" applyFont="1" applyFill="1" applyBorder="1" applyAlignment="1">
      <alignment horizontal="right" vertical="top" wrapText="1"/>
    </xf>
    <xf numFmtId="0" fontId="14" fillId="0" borderId="0" xfId="0" applyFont="1" applyAlignment="1">
      <alignment vertical="top"/>
    </xf>
    <xf numFmtId="9" fontId="13" fillId="10" borderId="1" xfId="23" applyFont="1" applyFill="1" applyBorder="1" applyAlignment="1" applyProtection="1">
      <alignment horizontal="center" vertical="top" wrapText="1"/>
    </xf>
    <xf numFmtId="0" fontId="15" fillId="0" borderId="3" xfId="17" applyFont="1" applyBorder="1" applyAlignment="1">
      <alignment vertical="top"/>
    </xf>
    <xf numFmtId="166" fontId="4" fillId="10" borderId="1" xfId="0" applyNumberFormat="1" applyFont="1" applyFill="1" applyBorder="1" applyAlignment="1">
      <alignment horizontal="right" vertical="top" wrapText="1"/>
    </xf>
    <xf numFmtId="1" fontId="26" fillId="10" borderId="1" xfId="0" applyNumberFormat="1" applyFont="1" applyFill="1" applyBorder="1" applyAlignment="1">
      <alignment horizontal="center" vertical="top" wrapText="1"/>
    </xf>
    <xf numFmtId="1" fontId="13" fillId="10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1" fontId="4" fillId="3" borderId="1" xfId="0" applyNumberFormat="1" applyFont="1" applyFill="1" applyBorder="1" applyAlignment="1">
      <alignment horizontal="center" vertical="top" wrapText="1"/>
    </xf>
    <xf numFmtId="10" fontId="29" fillId="0" borderId="0" xfId="0" applyNumberFormat="1" applyFont="1" applyAlignment="1">
      <alignment horizontal="center" vertical="top" wrapText="1"/>
    </xf>
    <xf numFmtId="0" fontId="15" fillId="10" borderId="3" xfId="16" applyFont="1" applyFill="1" applyBorder="1" applyAlignment="1">
      <alignment vertical="top"/>
    </xf>
    <xf numFmtId="10" fontId="15" fillId="10" borderId="1" xfId="16" applyNumberFormat="1" applyFont="1" applyFill="1" applyBorder="1" applyAlignment="1">
      <alignment horizontal="center" vertical="top"/>
    </xf>
    <xf numFmtId="0" fontId="15" fillId="0" borderId="3" xfId="16" applyFont="1" applyBorder="1" applyAlignment="1">
      <alignment vertical="top"/>
    </xf>
    <xf numFmtId="10" fontId="15" fillId="0" borderId="1" xfId="16" applyNumberFormat="1" applyFont="1" applyBorder="1" applyAlignment="1">
      <alignment horizontal="center" vertical="top"/>
    </xf>
    <xf numFmtId="10" fontId="29" fillId="0" borderId="0" xfId="0" applyNumberFormat="1" applyFont="1" applyAlignment="1">
      <alignment horizontal="center" vertical="top"/>
    </xf>
    <xf numFmtId="0" fontId="15" fillId="0" borderId="3" xfId="22" applyFont="1" applyBorder="1" applyAlignment="1">
      <alignment vertical="top"/>
    </xf>
    <xf numFmtId="10" fontId="13" fillId="10" borderId="1" xfId="23" applyNumberFormat="1" applyFont="1" applyFill="1" applyBorder="1" applyAlignment="1" applyProtection="1">
      <alignment horizontal="right" vertical="top" wrapText="1"/>
    </xf>
    <xf numFmtId="167" fontId="26" fillId="10" borderId="1" xfId="0" applyNumberFormat="1" applyFont="1" applyFill="1" applyBorder="1" applyAlignment="1">
      <alignment horizontal="center" vertical="top" wrapText="1"/>
    </xf>
    <xf numFmtId="167" fontId="13" fillId="10" borderId="1" xfId="0" applyNumberFormat="1" applyFont="1" applyFill="1" applyBorder="1" applyAlignment="1">
      <alignment horizontal="center" vertical="top" wrapText="1"/>
    </xf>
    <xf numFmtId="166" fontId="26" fillId="10" borderId="1" xfId="0" applyNumberFormat="1" applyFont="1" applyFill="1" applyBorder="1" applyAlignment="1">
      <alignment horizontal="right" vertical="top" wrapText="1"/>
    </xf>
    <xf numFmtId="0" fontId="17" fillId="11" borderId="0" xfId="0" applyFont="1" applyFill="1" applyAlignment="1">
      <alignment vertical="top"/>
    </xf>
    <xf numFmtId="0" fontId="13" fillId="11" borderId="0" xfId="0" applyFont="1" applyFill="1" applyAlignment="1">
      <alignment vertical="top"/>
    </xf>
    <xf numFmtId="3" fontId="17" fillId="0" borderId="0" xfId="0" applyNumberFormat="1" applyFont="1" applyAlignment="1">
      <alignment horizontal="left" vertical="center" wrapText="1"/>
    </xf>
    <xf numFmtId="166" fontId="17" fillId="0" borderId="0" xfId="0" applyNumberFormat="1" applyFont="1" applyAlignment="1">
      <alignment horizontal="left" vertical="center" wrapText="1"/>
    </xf>
    <xf numFmtId="166" fontId="17" fillId="0" borderId="0" xfId="0" applyNumberFormat="1" applyFont="1" applyAlignment="1">
      <alignment horizontal="left" vertical="center"/>
    </xf>
    <xf numFmtId="166" fontId="30" fillId="0" borderId="1" xfId="0" applyNumberFormat="1" applyFont="1" applyBorder="1" applyAlignment="1">
      <alignment horizontal="right" vertical="top" wrapText="1"/>
    </xf>
    <xf numFmtId="1" fontId="13" fillId="0" borderId="1" xfId="0" applyNumberFormat="1" applyFont="1" applyBorder="1" applyAlignment="1">
      <alignment horizontal="center" vertical="top" wrapText="1"/>
    </xf>
    <xf numFmtId="165" fontId="13" fillId="0" borderId="0" xfId="26" applyFont="1" applyFill="1" applyAlignment="1" applyProtection="1">
      <alignment vertical="top"/>
    </xf>
    <xf numFmtId="166" fontId="13" fillId="0" borderId="1" xfId="0" applyNumberFormat="1" applyFont="1" applyBorder="1" applyAlignment="1">
      <alignment vertical="top" wrapText="1"/>
    </xf>
    <xf numFmtId="166" fontId="30" fillId="0" borderId="1" xfId="0" applyNumberFormat="1" applyFont="1" applyBorder="1" applyAlignment="1">
      <alignment vertical="top" wrapText="1"/>
    </xf>
    <xf numFmtId="0" fontId="6" fillId="9" borderId="0" xfId="11" applyFont="1" applyFill="1"/>
    <xf numFmtId="0" fontId="34" fillId="9" borderId="0" xfId="11" applyFont="1" applyFill="1" applyAlignment="1">
      <alignment horizontal="left"/>
    </xf>
    <xf numFmtId="0" fontId="34" fillId="9" borderId="0" xfId="11" applyFont="1" applyFill="1"/>
    <xf numFmtId="0" fontId="34" fillId="9" borderId="0" xfId="11" applyFont="1" applyFill="1" applyAlignment="1">
      <alignment horizontal="center"/>
    </xf>
    <xf numFmtId="166" fontId="34" fillId="9" borderId="0" xfId="11" applyNumberFormat="1" applyFont="1" applyFill="1"/>
    <xf numFmtId="0" fontId="6" fillId="9" borderId="0" xfId="11" applyFont="1" applyFill="1" applyAlignment="1">
      <alignment horizontal="left"/>
    </xf>
    <xf numFmtId="3" fontId="6" fillId="9" borderId="1" xfId="11" applyNumberFormat="1" applyFont="1" applyFill="1" applyBorder="1" applyAlignment="1">
      <alignment horizontal="center" vertical="center" wrapText="1"/>
    </xf>
    <xf numFmtId="166" fontId="6" fillId="9" borderId="1" xfId="11" applyNumberFormat="1" applyFont="1" applyFill="1" applyBorder="1" applyAlignment="1">
      <alignment vertical="center" wrapText="1"/>
    </xf>
    <xf numFmtId="0" fontId="6" fillId="9" borderId="4" xfId="11" applyFont="1" applyFill="1" applyBorder="1" applyAlignment="1">
      <alignment horizontal="center" vertical="center" wrapText="1"/>
    </xf>
    <xf numFmtId="166" fontId="6" fillId="9" borderId="4" xfId="11" applyNumberFormat="1" applyFont="1" applyFill="1" applyBorder="1" applyAlignment="1">
      <alignment horizontal="center" vertical="center" wrapText="1"/>
    </xf>
    <xf numFmtId="0" fontId="6" fillId="9" borderId="1" xfId="11" applyFont="1" applyFill="1" applyBorder="1" applyAlignment="1">
      <alignment horizontal="left" vertical="center" wrapText="1"/>
    </xf>
    <xf numFmtId="1" fontId="7" fillId="9" borderId="1" xfId="11" applyNumberFormat="1" applyFont="1" applyFill="1" applyBorder="1" applyAlignment="1">
      <alignment horizontal="center" vertical="center"/>
    </xf>
    <xf numFmtId="166" fontId="6" fillId="9" borderId="1" xfId="11" applyNumberFormat="1" applyFont="1" applyFill="1" applyBorder="1" applyAlignment="1">
      <alignment vertical="center"/>
    </xf>
    <xf numFmtId="0" fontId="7" fillId="9" borderId="1" xfId="11" applyFont="1" applyFill="1" applyBorder="1" applyAlignment="1">
      <alignment horizontal="center" vertical="center"/>
    </xf>
    <xf numFmtId="3" fontId="6" fillId="9" borderId="1" xfId="11" applyNumberFormat="1" applyFont="1" applyFill="1" applyBorder="1" applyAlignment="1">
      <alignment horizontal="center" vertical="center"/>
    </xf>
    <xf numFmtId="0" fontId="6" fillId="9" borderId="0" xfId="11" applyFont="1" applyFill="1" applyAlignment="1">
      <alignment vertical="center"/>
    </xf>
    <xf numFmtId="0" fontId="6" fillId="9" borderId="1" xfId="11" applyFont="1" applyFill="1" applyBorder="1" applyAlignment="1">
      <alignment horizontal="left"/>
    </xf>
    <xf numFmtId="3" fontId="6" fillId="9" borderId="1" xfId="11" applyNumberFormat="1" applyFont="1" applyFill="1" applyBorder="1" applyAlignment="1">
      <alignment horizontal="center"/>
    </xf>
    <xf numFmtId="166" fontId="6" fillId="9" borderId="1" xfId="11" applyNumberFormat="1" applyFont="1" applyFill="1" applyBorder="1" applyAlignment="1">
      <alignment horizontal="right"/>
    </xf>
    <xf numFmtId="166" fontId="6" fillId="9" borderId="1" xfId="11" applyNumberFormat="1" applyFont="1" applyFill="1" applyBorder="1"/>
    <xf numFmtId="0" fontId="6" fillId="9" borderId="1" xfId="11" applyFont="1" applyFill="1" applyBorder="1"/>
    <xf numFmtId="0" fontId="6" fillId="9" borderId="0" xfId="11" applyFont="1" applyFill="1" applyAlignment="1">
      <alignment horizontal="center"/>
    </xf>
    <xf numFmtId="166" fontId="6" fillId="9" borderId="0" xfId="11" applyNumberFormat="1" applyFont="1" applyFill="1"/>
    <xf numFmtId="3" fontId="6" fillId="9" borderId="0" xfId="11" applyNumberFormat="1" applyFont="1" applyFill="1"/>
    <xf numFmtId="166" fontId="15" fillId="0" borderId="1" xfId="0" applyNumberFormat="1" applyFont="1" applyBorder="1" applyAlignment="1">
      <alignment vertical="top" wrapText="1"/>
    </xf>
    <xf numFmtId="49" fontId="15" fillId="10" borderId="1" xfId="0" applyNumberFormat="1" applyFont="1" applyFill="1" applyBorder="1" applyAlignment="1">
      <alignment horizontal="center" vertical="top" wrapText="1"/>
    </xf>
    <xf numFmtId="166" fontId="15" fillId="10" borderId="1" xfId="0" applyNumberFormat="1" applyFont="1" applyFill="1" applyBorder="1" applyAlignment="1">
      <alignment horizontal="right" vertical="top" wrapText="1"/>
    </xf>
    <xf numFmtId="9" fontId="15" fillId="10" borderId="1" xfId="23" applyFont="1" applyFill="1" applyBorder="1" applyAlignment="1" applyProtection="1">
      <alignment horizontal="center" vertical="top" wrapText="1"/>
    </xf>
    <xf numFmtId="166" fontId="8" fillId="10" borderId="1" xfId="0" applyNumberFormat="1" applyFont="1" applyFill="1" applyBorder="1" applyAlignment="1">
      <alignment horizontal="right" vertical="top" wrapText="1"/>
    </xf>
    <xf numFmtId="166" fontId="15" fillId="0" borderId="1" xfId="0" applyNumberFormat="1" applyFont="1" applyBorder="1" applyAlignment="1">
      <alignment horizontal="right" vertical="top" wrapText="1"/>
    </xf>
    <xf numFmtId="1" fontId="15" fillId="10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1" fontId="8" fillId="3" borderId="1" xfId="0" applyNumberFormat="1" applyFont="1" applyFill="1" applyBorder="1" applyAlignment="1">
      <alignment horizontal="center" vertical="top" wrapText="1"/>
    </xf>
    <xf numFmtId="0" fontId="15" fillId="0" borderId="3" xfId="0" applyFont="1" applyBorder="1" applyAlignment="1">
      <alignment vertical="top"/>
    </xf>
    <xf numFmtId="166" fontId="15" fillId="0" borderId="1" xfId="0" applyNumberFormat="1" applyFont="1" applyBorder="1" applyAlignment="1">
      <alignment horizontal="left" vertical="top"/>
    </xf>
    <xf numFmtId="10" fontId="15" fillId="10" borderId="1" xfId="23" applyNumberFormat="1" applyFont="1" applyFill="1" applyBorder="1" applyAlignment="1" applyProtection="1">
      <alignment horizontal="right" vertical="top" wrapText="1"/>
    </xf>
    <xf numFmtId="167" fontId="15" fillId="10" borderId="1" xfId="0" applyNumberFormat="1" applyFont="1" applyFill="1" applyBorder="1" applyAlignment="1">
      <alignment horizontal="center" vertical="top" wrapText="1"/>
    </xf>
    <xf numFmtId="1" fontId="15" fillId="0" borderId="1" xfId="0" applyNumberFormat="1" applyFont="1" applyBorder="1" applyAlignment="1">
      <alignment horizontal="center" vertical="top" wrapText="1"/>
    </xf>
    <xf numFmtId="166" fontId="16" fillId="0" borderId="1" xfId="0" applyNumberFormat="1" applyFont="1" applyBorder="1" applyAlignment="1">
      <alignment vertical="top" wrapText="1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9" borderId="0" xfId="0" applyFill="1" applyAlignment="1">
      <alignment vertical="center"/>
    </xf>
    <xf numFmtId="0" fontId="0" fillId="9" borderId="0" xfId="0" applyFill="1" applyAlignment="1">
      <alignment horizontal="left"/>
    </xf>
    <xf numFmtId="166" fontId="15" fillId="10" borderId="1" xfId="1" applyNumberFormat="1" applyFont="1" applyFill="1" applyBorder="1" applyAlignment="1" applyProtection="1">
      <alignment horizontal="right" vertical="top"/>
    </xf>
    <xf numFmtId="10" fontId="22" fillId="8" borderId="1" xfId="22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horizontal="left" vertical="top"/>
    </xf>
    <xf numFmtId="166" fontId="8" fillId="8" borderId="1" xfId="0" applyNumberFormat="1" applyFont="1" applyFill="1" applyBorder="1" applyAlignment="1" applyProtection="1">
      <alignment horizontal="center" vertical="top" wrapText="1"/>
      <protection locked="0"/>
    </xf>
    <xf numFmtId="14" fontId="15" fillId="8" borderId="1" xfId="0" applyNumberFormat="1" applyFont="1" applyFill="1" applyBorder="1" applyAlignment="1" applyProtection="1">
      <alignment horizontal="center" vertical="top" wrapText="1"/>
      <protection locked="0"/>
    </xf>
    <xf numFmtId="166" fontId="16" fillId="8" borderId="1" xfId="0" applyNumberFormat="1" applyFont="1" applyFill="1" applyBorder="1" applyAlignment="1" applyProtection="1">
      <alignment horizontal="right" vertical="top" wrapText="1"/>
      <protection locked="0"/>
    </xf>
    <xf numFmtId="166" fontId="8" fillId="0" borderId="1" xfId="0" applyNumberFormat="1" applyFont="1" applyBorder="1" applyAlignment="1">
      <alignment horizontal="center" vertical="top" wrapText="1"/>
    </xf>
    <xf numFmtId="14" fontId="15" fillId="0" borderId="1" xfId="0" applyNumberFormat="1" applyFont="1" applyBorder="1" applyAlignment="1">
      <alignment horizontal="center" vertical="top" wrapText="1"/>
    </xf>
    <xf numFmtId="166" fontId="16" fillId="0" borderId="1" xfId="0" applyNumberFormat="1" applyFont="1" applyBorder="1" applyAlignment="1">
      <alignment horizontal="right" vertical="top" wrapText="1"/>
    </xf>
    <xf numFmtId="0" fontId="13" fillId="8" borderId="1" xfId="0" applyFont="1" applyFill="1" applyBorder="1" applyAlignment="1" applyProtection="1">
      <alignment vertical="center"/>
      <protection locked="0"/>
    </xf>
    <xf numFmtId="10" fontId="15" fillId="0" borderId="1" xfId="17" applyNumberFormat="1" applyFont="1" applyBorder="1" applyAlignment="1">
      <alignment horizontal="center" vertical="top" wrapText="1"/>
    </xf>
    <xf numFmtId="0" fontId="19" fillId="0" borderId="0" xfId="0" applyFont="1" applyAlignment="1">
      <alignment vertical="top" wrapText="1"/>
    </xf>
    <xf numFmtId="10" fontId="35" fillId="0" borderId="0" xfId="0" applyNumberFormat="1" applyFont="1" applyAlignment="1">
      <alignment horizontal="center" vertical="top" wrapText="1"/>
    </xf>
    <xf numFmtId="10" fontId="22" fillId="8" borderId="1" xfId="17" applyNumberFormat="1" applyFont="1" applyFill="1" applyBorder="1" applyAlignment="1" applyProtection="1">
      <alignment horizontal="center" vertical="top" wrapText="1"/>
      <protection locked="0"/>
    </xf>
    <xf numFmtId="10" fontId="22" fillId="8" borderId="1" xfId="25" applyNumberFormat="1" applyFont="1" applyFill="1" applyBorder="1" applyAlignment="1" applyProtection="1">
      <alignment horizontal="center" vertical="top" wrapText="1"/>
      <protection locked="0"/>
    </xf>
    <xf numFmtId="0" fontId="22" fillId="0" borderId="3" xfId="16" applyFont="1" applyBorder="1" applyAlignment="1">
      <alignment vertical="center"/>
    </xf>
    <xf numFmtId="0" fontId="22" fillId="0" borderId="3" xfId="17" applyFont="1" applyBorder="1" applyAlignment="1">
      <alignment vertical="top"/>
    </xf>
    <xf numFmtId="0" fontId="22" fillId="0" borderId="3" xfId="18" applyFont="1" applyBorder="1" applyAlignment="1">
      <alignment vertical="top"/>
    </xf>
    <xf numFmtId="0" fontId="23" fillId="0" borderId="0" xfId="0" applyFont="1" applyAlignment="1">
      <alignment horizontal="center" vertical="center" wrapText="1"/>
    </xf>
    <xf numFmtId="0" fontId="15" fillId="8" borderId="4" xfId="0" applyFont="1" applyFill="1" applyBorder="1" applyAlignment="1" applyProtection="1">
      <alignment horizontal="left" vertical="top" wrapText="1"/>
      <protection locked="0"/>
    </xf>
    <xf numFmtId="0" fontId="15" fillId="8" borderId="7" xfId="0" applyFont="1" applyFill="1" applyBorder="1" applyAlignment="1" applyProtection="1">
      <alignment horizontal="left" vertical="top" wrapText="1"/>
      <protection locked="0"/>
    </xf>
    <xf numFmtId="166" fontId="15" fillId="8" borderId="4" xfId="0" applyNumberFormat="1" applyFont="1" applyFill="1" applyBorder="1" applyAlignment="1" applyProtection="1">
      <alignment horizontal="center" vertical="center"/>
      <protection locked="0"/>
    </xf>
    <xf numFmtId="166" fontId="15" fillId="8" borderId="7" xfId="0" applyNumberFormat="1" applyFont="1" applyFill="1" applyBorder="1" applyAlignment="1" applyProtection="1">
      <alignment horizontal="center" vertical="center"/>
      <protection locked="0"/>
    </xf>
    <xf numFmtId="0" fontId="13" fillId="8" borderId="4" xfId="0" applyFont="1" applyFill="1" applyBorder="1" applyAlignment="1" applyProtection="1">
      <alignment horizontal="left" vertical="top" wrapText="1"/>
      <protection locked="0"/>
    </xf>
    <xf numFmtId="0" fontId="13" fillId="8" borderId="7" xfId="0" applyFont="1" applyFill="1" applyBorder="1" applyAlignment="1" applyProtection="1">
      <alignment horizontal="left" vertical="top" wrapText="1"/>
      <protection locked="0"/>
    </xf>
    <xf numFmtId="0" fontId="24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 wrapText="1"/>
    </xf>
    <xf numFmtId="166" fontId="13" fillId="8" borderId="4" xfId="0" applyNumberFormat="1" applyFont="1" applyFill="1" applyBorder="1" applyAlignment="1" applyProtection="1">
      <alignment horizontal="center" vertical="center"/>
      <protection locked="0"/>
    </xf>
    <xf numFmtId="166" fontId="13" fillId="8" borderId="7" xfId="0" applyNumberFormat="1" applyFont="1" applyFill="1" applyBorder="1" applyAlignment="1" applyProtection="1">
      <alignment horizontal="center" vertical="center"/>
      <protection locked="0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21" fillId="8" borderId="0" xfId="13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0" borderId="7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top"/>
    </xf>
    <xf numFmtId="0" fontId="31" fillId="0" borderId="0" xfId="0" applyFont="1" applyAlignment="1">
      <alignment horizontal="center" vertical="top"/>
    </xf>
    <xf numFmtId="0" fontId="15" fillId="0" borderId="1" xfId="0" applyFont="1" applyBorder="1" applyAlignment="1">
      <alignment horizontal="left" vertical="top"/>
    </xf>
    <xf numFmtId="169" fontId="15" fillId="0" borderId="4" xfId="0" applyNumberFormat="1" applyFont="1" applyBorder="1" applyAlignment="1">
      <alignment horizontal="center" vertical="center" wrapText="1"/>
    </xf>
    <xf numFmtId="169" fontId="15" fillId="0" borderId="7" xfId="0" applyNumberFormat="1" applyFont="1" applyBorder="1" applyAlignment="1">
      <alignment horizontal="center" vertical="center" wrapText="1"/>
    </xf>
    <xf numFmtId="166" fontId="15" fillId="0" borderId="4" xfId="0" applyNumberFormat="1" applyFont="1" applyBorder="1" applyAlignment="1">
      <alignment horizontal="center" vertical="center"/>
    </xf>
    <xf numFmtId="166" fontId="15" fillId="0" borderId="7" xfId="0" applyNumberFormat="1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21" fillId="10" borderId="0" xfId="13" applyFont="1" applyFill="1" applyAlignment="1">
      <alignment horizontal="center" vertical="center" wrapText="1"/>
    </xf>
    <xf numFmtId="166" fontId="15" fillId="0" borderId="3" xfId="0" applyNumberFormat="1" applyFont="1" applyBorder="1" applyAlignment="1">
      <alignment horizontal="left" vertical="top"/>
    </xf>
    <xf numFmtId="166" fontId="15" fillId="0" borderId="6" xfId="0" applyNumberFormat="1" applyFont="1" applyBorder="1" applyAlignment="1">
      <alignment horizontal="left" vertical="top"/>
    </xf>
    <xf numFmtId="166" fontId="15" fillId="0" borderId="2" xfId="0" applyNumberFormat="1" applyFont="1" applyBorder="1" applyAlignment="1">
      <alignment horizontal="left" vertical="top"/>
    </xf>
    <xf numFmtId="0" fontId="15" fillId="0" borderId="4" xfId="0" applyFont="1" applyBorder="1" applyAlignment="1">
      <alignment horizontal="left" vertical="top"/>
    </xf>
    <xf numFmtId="0" fontId="15" fillId="0" borderId="7" xfId="0" applyFont="1" applyBorder="1" applyAlignment="1">
      <alignment horizontal="left" vertical="top"/>
    </xf>
    <xf numFmtId="166" fontId="15" fillId="10" borderId="4" xfId="0" applyNumberFormat="1" applyFont="1" applyFill="1" applyBorder="1" applyAlignment="1">
      <alignment horizontal="center" vertical="center"/>
    </xf>
    <xf numFmtId="166" fontId="15" fillId="10" borderId="7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5" fillId="0" borderId="14" xfId="0" applyFont="1" applyBorder="1" applyAlignment="1">
      <alignment horizontal="left" vertical="top"/>
    </xf>
    <xf numFmtId="0" fontId="15" fillId="0" borderId="15" xfId="0" applyFont="1" applyBorder="1" applyAlignment="1">
      <alignment horizontal="left" vertical="top"/>
    </xf>
    <xf numFmtId="0" fontId="15" fillId="0" borderId="11" xfId="0" applyFont="1" applyBorder="1" applyAlignment="1">
      <alignment horizontal="left" vertical="top"/>
    </xf>
    <xf numFmtId="0" fontId="15" fillId="0" borderId="13" xfId="0" applyFont="1" applyBorder="1" applyAlignment="1">
      <alignment horizontal="left" vertical="top"/>
    </xf>
    <xf numFmtId="0" fontId="16" fillId="0" borderId="1" xfId="0" applyFont="1" applyBorder="1" applyAlignment="1">
      <alignment horizontal="left" vertical="top"/>
    </xf>
    <xf numFmtId="9" fontId="15" fillId="0" borderId="8" xfId="0" applyNumberFormat="1" applyFont="1" applyBorder="1" applyAlignment="1">
      <alignment horizontal="left" vertical="top" wrapText="1"/>
    </xf>
    <xf numFmtId="9" fontId="15" fillId="0" borderId="10" xfId="0" applyNumberFormat="1" applyFont="1" applyBorder="1" applyAlignment="1">
      <alignment horizontal="left" vertical="top" wrapText="1"/>
    </xf>
    <xf numFmtId="9" fontId="15" fillId="0" borderId="14" xfId="0" applyNumberFormat="1" applyFont="1" applyBorder="1" applyAlignment="1">
      <alignment horizontal="left" vertical="top" wrapText="1"/>
    </xf>
    <xf numFmtId="9" fontId="15" fillId="0" borderId="15" xfId="0" applyNumberFormat="1" applyFont="1" applyBorder="1" applyAlignment="1">
      <alignment horizontal="left" vertical="top" wrapText="1"/>
    </xf>
    <xf numFmtId="9" fontId="15" fillId="0" borderId="11" xfId="0" applyNumberFormat="1" applyFont="1" applyBorder="1" applyAlignment="1">
      <alignment horizontal="left" vertical="top" wrapText="1"/>
    </xf>
    <xf numFmtId="9" fontId="15" fillId="0" borderId="13" xfId="0" applyNumberFormat="1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10" borderId="8" xfId="0" applyFont="1" applyFill="1" applyBorder="1" applyAlignment="1">
      <alignment horizontal="left" vertical="top" wrapText="1"/>
    </xf>
    <xf numFmtId="0" fontId="15" fillId="10" borderId="10" xfId="0" applyFont="1" applyFill="1" applyBorder="1" applyAlignment="1">
      <alignment horizontal="left" vertical="top" wrapText="1"/>
    </xf>
    <xf numFmtId="0" fontId="15" fillId="10" borderId="11" xfId="0" applyFont="1" applyFill="1" applyBorder="1" applyAlignment="1">
      <alignment horizontal="left" vertical="top" wrapText="1"/>
    </xf>
    <xf numFmtId="0" fontId="15" fillId="10" borderId="13" xfId="0" applyFont="1" applyFill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4" fillId="9" borderId="0" xfId="0" applyFont="1" applyFill="1" applyAlignment="1">
      <alignment horizontal="center"/>
    </xf>
    <xf numFmtId="0" fontId="17" fillId="9" borderId="0" xfId="0" applyFont="1" applyFill="1" applyAlignment="1">
      <alignment horizontal="center"/>
    </xf>
    <xf numFmtId="0" fontId="9" fillId="9" borderId="0" xfId="0" applyFont="1" applyFill="1" applyAlignment="1">
      <alignment horizont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left" vertical="center"/>
    </xf>
    <xf numFmtId="49" fontId="5" fillId="3" borderId="2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0" fontId="0" fillId="0" borderId="1" xfId="0" applyBorder="1"/>
    <xf numFmtId="0" fontId="24" fillId="0" borderId="1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3" fillId="0" borderId="1" xfId="0" applyFont="1" applyBorder="1" applyAlignment="1">
      <alignment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5" fillId="0" borderId="1" xfId="17" applyFont="1" applyBorder="1" applyAlignment="1">
      <alignment horizontal="center" vertical="center"/>
    </xf>
    <xf numFmtId="0" fontId="15" fillId="0" borderId="1" xfId="18" applyFont="1" applyBorder="1" applyAlignment="1">
      <alignment horizontal="center" vertical="center"/>
    </xf>
    <xf numFmtId="0" fontId="15" fillId="0" borderId="1" xfId="19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5" fillId="0" borderId="4" xfId="16" applyFont="1" applyBorder="1" applyAlignment="1">
      <alignment horizontal="center" vertical="center"/>
    </xf>
    <xf numFmtId="0" fontId="15" fillId="0" borderId="5" xfId="16" applyFont="1" applyBorder="1" applyAlignment="1">
      <alignment horizontal="center" vertical="center"/>
    </xf>
    <xf numFmtId="0" fontId="15" fillId="0" borderId="7" xfId="16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49" fontId="6" fillId="9" borderId="1" xfId="11" applyNumberFormat="1" applyFont="1" applyFill="1" applyBorder="1" applyAlignment="1">
      <alignment horizontal="left" vertical="center" wrapText="1"/>
    </xf>
    <xf numFmtId="0" fontId="6" fillId="9" borderId="1" xfId="11" applyFont="1" applyFill="1" applyBorder="1" applyAlignment="1">
      <alignment horizontal="left" vertical="center" wrapText="1"/>
    </xf>
    <xf numFmtId="0" fontId="23" fillId="9" borderId="0" xfId="0" applyFont="1" applyFill="1" applyAlignment="1">
      <alignment horizontal="center"/>
    </xf>
    <xf numFmtId="0" fontId="12" fillId="9" borderId="0" xfId="0" applyFont="1" applyFill="1" applyAlignment="1">
      <alignment horizontal="center"/>
    </xf>
    <xf numFmtId="49" fontId="6" fillId="9" borderId="3" xfId="11" applyNumberFormat="1" applyFont="1" applyFill="1" applyBorder="1" applyAlignment="1">
      <alignment horizontal="center" vertical="center" wrapText="1"/>
    </xf>
    <xf numFmtId="49" fontId="6" fillId="9" borderId="2" xfId="11" applyNumberFormat="1" applyFont="1" applyFill="1" applyBorder="1" applyAlignment="1">
      <alignment horizontal="center" vertical="center" wrapText="1"/>
    </xf>
    <xf numFmtId="0" fontId="6" fillId="9" borderId="1" xfId="11" applyFont="1" applyFill="1" applyBorder="1" applyAlignment="1">
      <alignment horizontal="center" vertical="center" wrapText="1"/>
    </xf>
    <xf numFmtId="166" fontId="6" fillId="9" borderId="1" xfId="11" applyNumberFormat="1" applyFont="1" applyFill="1" applyBorder="1" applyAlignment="1">
      <alignment horizontal="center" vertical="center" wrapText="1"/>
    </xf>
    <xf numFmtId="0" fontId="6" fillId="9" borderId="3" xfId="11" applyFont="1" applyFill="1" applyBorder="1" applyAlignment="1">
      <alignment horizontal="left" vertical="center" wrapText="1"/>
    </xf>
    <xf numFmtId="0" fontId="6" fillId="9" borderId="2" xfId="11" applyFont="1" applyFill="1" applyBorder="1" applyAlignment="1">
      <alignment horizontal="left" vertical="center" wrapText="1"/>
    </xf>
    <xf numFmtId="49" fontId="6" fillId="9" borderId="3" xfId="11" applyNumberFormat="1" applyFont="1" applyFill="1" applyBorder="1" applyAlignment="1">
      <alignment horizontal="left" vertical="center" wrapText="1"/>
    </xf>
    <xf numFmtId="9" fontId="15" fillId="8" borderId="4" xfId="0" applyNumberFormat="1" applyFont="1" applyFill="1" applyBorder="1" applyAlignment="1" applyProtection="1">
      <alignment horizontal="center" vertical="center"/>
      <protection locked="0"/>
    </xf>
    <xf numFmtId="9" fontId="15" fillId="8" borderId="7" xfId="0" applyNumberFormat="1" applyFont="1" applyFill="1" applyBorder="1" applyAlignment="1" applyProtection="1">
      <alignment horizontal="center" vertical="center"/>
      <protection locked="0"/>
    </xf>
  </cellXfs>
  <cellStyles count="27">
    <cellStyle name="Moeda" xfId="1" builtinId="4"/>
    <cellStyle name="Moeda 10" xfId="2" xr:uid="{00000000-0005-0000-0000-000001000000}"/>
    <cellStyle name="Moeda 11" xfId="3" xr:uid="{00000000-0005-0000-0000-000002000000}"/>
    <cellStyle name="Moeda 2" xfId="4" xr:uid="{00000000-0005-0000-0000-000003000000}"/>
    <cellStyle name="Moeda 3" xfId="5" xr:uid="{00000000-0005-0000-0000-000004000000}"/>
    <cellStyle name="Moeda 4" xfId="6" xr:uid="{00000000-0005-0000-0000-000005000000}"/>
    <cellStyle name="Moeda 5" xfId="7" xr:uid="{00000000-0005-0000-0000-000006000000}"/>
    <cellStyle name="Moeda 6" xfId="8" xr:uid="{00000000-0005-0000-0000-000007000000}"/>
    <cellStyle name="Moeda 7" xfId="9" xr:uid="{00000000-0005-0000-0000-000008000000}"/>
    <cellStyle name="Moeda 8" xfId="10" xr:uid="{00000000-0005-0000-0000-000009000000}"/>
    <cellStyle name="Normal" xfId="0" builtinId="0"/>
    <cellStyle name="Normal 10" xfId="11" xr:uid="{00000000-0005-0000-0000-00000B000000}"/>
    <cellStyle name="Normal 11" xfId="12" xr:uid="{00000000-0005-0000-0000-00000C000000}"/>
    <cellStyle name="Normal 12" xfId="13" xr:uid="{00000000-0005-0000-0000-00000D000000}"/>
    <cellStyle name="Normal 13" xfId="14" xr:uid="{00000000-0005-0000-0000-00000E000000}"/>
    <cellStyle name="Normal 13 2" xfId="15" xr:uid="{00000000-0005-0000-0000-00000F000000}"/>
    <cellStyle name="Normal 2" xfId="16" xr:uid="{00000000-0005-0000-0000-000010000000}"/>
    <cellStyle name="Normal 3" xfId="17" xr:uid="{00000000-0005-0000-0000-000011000000}"/>
    <cellStyle name="Normal 4" xfId="18" xr:uid="{00000000-0005-0000-0000-000012000000}"/>
    <cellStyle name="Normal 5" xfId="19" xr:uid="{00000000-0005-0000-0000-000013000000}"/>
    <cellStyle name="Normal 6" xfId="20" xr:uid="{00000000-0005-0000-0000-000014000000}"/>
    <cellStyle name="Normal 7" xfId="21" xr:uid="{00000000-0005-0000-0000-000015000000}"/>
    <cellStyle name="Normal 8" xfId="22" xr:uid="{00000000-0005-0000-0000-000016000000}"/>
    <cellStyle name="Porcentagem" xfId="23" builtinId="5"/>
    <cellStyle name="Porcentagem 2" xfId="24" xr:uid="{00000000-0005-0000-0000-000018000000}"/>
    <cellStyle name="Porcentagem 4" xfId="25" xr:uid="{00000000-0005-0000-0000-000019000000}"/>
    <cellStyle name="Vírgula" xfId="2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4"/>
  <sheetViews>
    <sheetView showGridLines="0" zoomScaleNormal="100" workbookViewId="0">
      <selection activeCell="P10" sqref="P10"/>
    </sheetView>
  </sheetViews>
  <sheetFormatPr defaultColWidth="9.140625" defaultRowHeight="18" customHeight="1" x14ac:dyDescent="0.25"/>
  <cols>
    <col min="1" max="1" width="53.42578125" style="181" customWidth="1"/>
    <col min="2" max="2" width="21.42578125" style="181" customWidth="1"/>
    <col min="3" max="3" width="5.85546875" style="181" customWidth="1"/>
    <col min="4" max="4" width="18.140625" style="182" customWidth="1"/>
    <col min="5" max="5" width="10.42578125" style="182" customWidth="1"/>
    <col min="6" max="6" width="14.42578125" style="182" customWidth="1"/>
    <col min="7" max="8" width="18.140625" style="182" customWidth="1"/>
    <col min="9" max="9" width="18.140625" style="183" hidden="1" customWidth="1"/>
    <col min="10" max="10" width="18.140625" style="182" hidden="1" customWidth="1"/>
    <col min="11" max="13" width="18.28515625" style="182" hidden="1" customWidth="1"/>
    <col min="14" max="16384" width="9.140625" style="181"/>
  </cols>
  <sheetData>
    <row r="1" spans="1:13" s="179" customFormat="1" ht="18" customHeight="1" x14ac:dyDescent="0.25">
      <c r="A1" s="314" t="s">
        <v>311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3" ht="23.25" x14ac:dyDescent="0.25">
      <c r="A2" s="315" t="s">
        <v>305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3" ht="18" customHeight="1" x14ac:dyDescent="0.25">
      <c r="A3" s="329" t="s">
        <v>198</v>
      </c>
      <c r="B3" s="329"/>
      <c r="D3" s="320" t="s">
        <v>285</v>
      </c>
      <c r="E3" s="321"/>
      <c r="F3" s="322"/>
      <c r="G3" s="318" t="str">
        <f>'Condições Gerais'!G6</f>
        <v>01- RECEPCIONISTA / ATENDENTE</v>
      </c>
      <c r="H3" s="318" t="str">
        <f>'Condições Gerais'!H6</f>
        <v>02-  SUPERVISOR</v>
      </c>
      <c r="I3" s="334" t="str">
        <f>'Condições Gerais'!I6</f>
        <v>03-  XXXXXX</v>
      </c>
      <c r="J3" s="334" t="str">
        <f>'Condições Gerais'!J6</f>
        <v>04- XXXXXX</v>
      </c>
    </row>
    <row r="4" spans="1:13" ht="18" customHeight="1" x14ac:dyDescent="0.25">
      <c r="A4" s="329"/>
      <c r="B4" s="329"/>
      <c r="D4" s="323"/>
      <c r="E4" s="324"/>
      <c r="F4" s="325"/>
      <c r="G4" s="319"/>
      <c r="H4" s="319"/>
      <c r="I4" s="335"/>
      <c r="J4" s="335"/>
    </row>
    <row r="5" spans="1:13" ht="18" customHeight="1" x14ac:dyDescent="0.25">
      <c r="D5" s="326" t="s">
        <v>32</v>
      </c>
      <c r="E5" s="327"/>
      <c r="F5" s="328"/>
      <c r="G5" s="292" t="s">
        <v>298</v>
      </c>
      <c r="H5" s="292" t="s">
        <v>298</v>
      </c>
      <c r="I5" s="292" t="s">
        <v>298</v>
      </c>
      <c r="J5" s="292" t="s">
        <v>298</v>
      </c>
    </row>
    <row r="6" spans="1:13" ht="18" customHeight="1" x14ac:dyDescent="0.25">
      <c r="A6" s="157" t="s">
        <v>279</v>
      </c>
      <c r="D6" s="326" t="s">
        <v>197</v>
      </c>
      <c r="E6" s="327"/>
      <c r="F6" s="328"/>
      <c r="G6" s="293">
        <v>45292</v>
      </c>
      <c r="H6" s="293">
        <v>45292</v>
      </c>
      <c r="I6" s="293">
        <v>45292</v>
      </c>
      <c r="J6" s="293">
        <v>45292</v>
      </c>
      <c r="K6" s="332" t="str">
        <f>'Condições Gerais'!K6</f>
        <v>05-</v>
      </c>
      <c r="L6" s="332" t="str">
        <f>'Condições Gerais'!L6</f>
        <v>06-</v>
      </c>
      <c r="M6" s="332" t="str">
        <f>'Condições Gerais'!M6</f>
        <v xml:space="preserve">07- </v>
      </c>
    </row>
    <row r="7" spans="1:13" s="180" customFormat="1" ht="18" customHeight="1" x14ac:dyDescent="0.25">
      <c r="A7" s="304" t="s">
        <v>6</v>
      </c>
      <c r="B7" s="199">
        <v>1.4999999999999999E-2</v>
      </c>
      <c r="D7" s="326" t="s">
        <v>1</v>
      </c>
      <c r="E7" s="327"/>
      <c r="F7" s="328"/>
      <c r="G7" s="294">
        <v>2405.25</v>
      </c>
      <c r="H7" s="294">
        <v>2989.47</v>
      </c>
      <c r="I7" s="294">
        <v>2989.47</v>
      </c>
      <c r="J7" s="294">
        <v>2302.14</v>
      </c>
      <c r="K7" s="333"/>
      <c r="L7" s="333"/>
      <c r="M7" s="333"/>
    </row>
    <row r="8" spans="1:13" s="180" customFormat="1" ht="18" customHeight="1" x14ac:dyDescent="0.25">
      <c r="A8" s="304" t="s">
        <v>7</v>
      </c>
      <c r="B8" s="199">
        <v>0.01</v>
      </c>
      <c r="D8" s="326" t="s">
        <v>193</v>
      </c>
      <c r="E8" s="327"/>
      <c r="F8" s="328"/>
      <c r="G8" s="298">
        <v>27.24</v>
      </c>
      <c r="H8" s="298">
        <v>27.24</v>
      </c>
      <c r="I8" s="298">
        <v>27.24</v>
      </c>
      <c r="J8" s="298">
        <v>27.24</v>
      </c>
      <c r="K8" s="185">
        <v>0</v>
      </c>
      <c r="L8" s="185">
        <v>0</v>
      </c>
      <c r="M8" s="185">
        <v>0</v>
      </c>
    </row>
    <row r="9" spans="1:13" s="180" customFormat="1" ht="18" customHeight="1" x14ac:dyDescent="0.25">
      <c r="A9" s="304" t="s">
        <v>8</v>
      </c>
      <c r="B9" s="199">
        <v>2E-3</v>
      </c>
      <c r="D9" s="308" t="s">
        <v>307</v>
      </c>
      <c r="E9" s="310">
        <v>87.18</v>
      </c>
      <c r="F9" s="291" t="s">
        <v>119</v>
      </c>
      <c r="G9" s="201">
        <v>1</v>
      </c>
      <c r="H9" s="201">
        <v>1</v>
      </c>
      <c r="I9" s="201">
        <v>1</v>
      </c>
      <c r="J9" s="201">
        <v>1</v>
      </c>
      <c r="K9" s="187">
        <f>$E17*K8</f>
        <v>0</v>
      </c>
      <c r="L9" s="187">
        <f>$E17*L8</f>
        <v>0</v>
      </c>
      <c r="M9" s="187">
        <f>$E17*M8</f>
        <v>0</v>
      </c>
    </row>
    <row r="10" spans="1:13" s="180" customFormat="1" ht="18" customHeight="1" x14ac:dyDescent="0.25">
      <c r="A10" s="304" t="s">
        <v>11</v>
      </c>
      <c r="B10" s="199">
        <v>0.02</v>
      </c>
      <c r="D10" s="309"/>
      <c r="E10" s="311"/>
      <c r="F10" s="280" t="s">
        <v>58</v>
      </c>
      <c r="G10" s="275">
        <f>$E9*G9</f>
        <v>87.18</v>
      </c>
      <c r="H10" s="275">
        <f>$E9*H9</f>
        <v>87.18</v>
      </c>
      <c r="I10" s="275">
        <f>$E9*I9</f>
        <v>87.18</v>
      </c>
      <c r="J10" s="275">
        <f>$E9*J9</f>
        <v>87.18</v>
      </c>
      <c r="K10" s="185">
        <v>0</v>
      </c>
      <c r="L10" s="185">
        <v>0</v>
      </c>
      <c r="M10" s="185">
        <v>0</v>
      </c>
    </row>
    <row r="11" spans="1:13" s="180" customFormat="1" ht="18" customHeight="1" x14ac:dyDescent="0.25">
      <c r="A11" s="304" t="s">
        <v>12</v>
      </c>
      <c r="B11" s="199">
        <v>6.0000000000000001E-3</v>
      </c>
      <c r="D11" s="308" t="s">
        <v>308</v>
      </c>
      <c r="E11" s="310">
        <v>10.45</v>
      </c>
      <c r="F11" s="291" t="s">
        <v>119</v>
      </c>
      <c r="G11" s="201">
        <v>12</v>
      </c>
      <c r="H11" s="201">
        <v>12</v>
      </c>
      <c r="I11" s="201">
        <v>12</v>
      </c>
      <c r="J11" s="201">
        <v>12</v>
      </c>
      <c r="K11" s="187">
        <f>$E19*K10</f>
        <v>0</v>
      </c>
      <c r="L11" s="187">
        <f>$E19*L10</f>
        <v>0</v>
      </c>
      <c r="M11" s="187">
        <f>$E19*M10</f>
        <v>0</v>
      </c>
    </row>
    <row r="12" spans="1:13" s="180" customFormat="1" ht="21.75" customHeight="1" x14ac:dyDescent="0.25">
      <c r="B12" s="188">
        <f>SUM(B7:B11)</f>
        <v>5.2999999999999999E-2</v>
      </c>
      <c r="D12" s="309"/>
      <c r="E12" s="311"/>
      <c r="F12" s="280" t="s">
        <v>58</v>
      </c>
      <c r="G12" s="275">
        <f>IF(G11&gt;0,$E11/G11,0)</f>
        <v>0.87083333333333324</v>
      </c>
      <c r="H12" s="275">
        <f>IF(H11&gt;0,$E11/H11,0)</f>
        <v>0.87083333333333324</v>
      </c>
      <c r="I12" s="275">
        <f>IF(I11&gt;0,$E11/I11,0)</f>
        <v>0.87083333333333324</v>
      </c>
      <c r="J12" s="275">
        <f>IF(J11&gt;0,$E11/J11,0)</f>
        <v>0.87083333333333324</v>
      </c>
      <c r="K12" s="185">
        <v>0</v>
      </c>
      <c r="L12" s="185">
        <v>0</v>
      </c>
      <c r="M12" s="185">
        <v>0</v>
      </c>
    </row>
    <row r="13" spans="1:13" s="180" customFormat="1" ht="18" customHeight="1" x14ac:dyDescent="0.25">
      <c r="A13" s="157" t="s">
        <v>151</v>
      </c>
      <c r="D13" s="308" t="s">
        <v>286</v>
      </c>
      <c r="E13" s="310">
        <v>0</v>
      </c>
      <c r="F13" s="291" t="s">
        <v>119</v>
      </c>
      <c r="G13" s="201">
        <v>0</v>
      </c>
      <c r="H13" s="201">
        <v>0</v>
      </c>
      <c r="I13" s="201">
        <v>0</v>
      </c>
      <c r="J13" s="201">
        <v>0</v>
      </c>
      <c r="K13" s="187">
        <f>$E21*K12</f>
        <v>0</v>
      </c>
      <c r="L13" s="187">
        <f>$E21*L12</f>
        <v>0</v>
      </c>
      <c r="M13" s="187">
        <f>$E21*M12</f>
        <v>0</v>
      </c>
    </row>
    <row r="14" spans="1:13" s="180" customFormat="1" ht="18" customHeight="1" x14ac:dyDescent="0.25">
      <c r="A14" s="190" t="s">
        <v>26</v>
      </c>
      <c r="B14" s="290">
        <v>1.6500000000000001E-2</v>
      </c>
      <c r="D14" s="309"/>
      <c r="E14" s="311"/>
      <c r="F14" s="280" t="s">
        <v>58</v>
      </c>
      <c r="G14" s="275">
        <f>$E13*G13</f>
        <v>0</v>
      </c>
      <c r="H14" s="275">
        <f>$E13*H13</f>
        <v>0</v>
      </c>
      <c r="I14" s="275">
        <f>$E13*I13</f>
        <v>0</v>
      </c>
      <c r="J14" s="275">
        <f>$E13*J13</f>
        <v>0</v>
      </c>
      <c r="K14" s="189"/>
      <c r="L14" s="189"/>
      <c r="M14" s="189"/>
    </row>
    <row r="15" spans="1:13" s="180" customFormat="1" ht="18" customHeight="1" x14ac:dyDescent="0.25">
      <c r="A15" s="190" t="s">
        <v>27</v>
      </c>
      <c r="B15" s="290">
        <v>7.5999999999999998E-2</v>
      </c>
      <c r="D15" s="308" t="s">
        <v>286</v>
      </c>
      <c r="E15" s="310">
        <v>0</v>
      </c>
      <c r="F15" s="291" t="s">
        <v>119</v>
      </c>
      <c r="G15" s="201">
        <v>0</v>
      </c>
      <c r="H15" s="201">
        <v>0</v>
      </c>
      <c r="I15" s="201">
        <v>0</v>
      </c>
      <c r="J15" s="201">
        <v>0</v>
      </c>
      <c r="K15" s="189"/>
      <c r="L15" s="189"/>
      <c r="M15" s="189"/>
    </row>
    <row r="16" spans="1:13" s="180" customFormat="1" ht="18" customHeight="1" x14ac:dyDescent="0.25">
      <c r="A16" s="190" t="s">
        <v>291</v>
      </c>
      <c r="B16" s="191">
        <v>0.05</v>
      </c>
      <c r="D16" s="309"/>
      <c r="E16" s="311"/>
      <c r="F16" s="280" t="s">
        <v>58</v>
      </c>
      <c r="G16" s="275">
        <f>$E15*G15</f>
        <v>0</v>
      </c>
      <c r="H16" s="275">
        <f>$E15*H15</f>
        <v>0</v>
      </c>
      <c r="I16" s="275">
        <f>$E15*I15</f>
        <v>0</v>
      </c>
      <c r="J16" s="275">
        <f>$E15*J15</f>
        <v>0</v>
      </c>
      <c r="K16" s="189"/>
      <c r="L16" s="189"/>
      <c r="M16" s="189"/>
    </row>
    <row r="17" spans="1:13" s="180" customFormat="1" ht="18" customHeight="1" x14ac:dyDescent="0.25">
      <c r="A17" s="192" t="s">
        <v>218</v>
      </c>
      <c r="B17" s="193">
        <f>SUM(B14:B16)</f>
        <v>0.14250000000000002</v>
      </c>
      <c r="D17" s="312" t="s">
        <v>286</v>
      </c>
      <c r="E17" s="316">
        <v>0</v>
      </c>
      <c r="F17" s="184" t="s">
        <v>119</v>
      </c>
      <c r="G17" s="201">
        <v>0</v>
      </c>
      <c r="H17" s="201">
        <v>0</v>
      </c>
      <c r="I17" s="201">
        <v>0</v>
      </c>
      <c r="J17" s="201">
        <v>0</v>
      </c>
      <c r="K17" s="189"/>
      <c r="L17" s="189"/>
      <c r="M17" s="189"/>
    </row>
    <row r="18" spans="1:13" s="180" customFormat="1" ht="18" customHeight="1" x14ac:dyDescent="0.25">
      <c r="A18" s="195"/>
      <c r="B18" s="196"/>
      <c r="D18" s="313"/>
      <c r="E18" s="317"/>
      <c r="F18" s="186" t="s">
        <v>58</v>
      </c>
      <c r="G18" s="187">
        <f>$E17*G17</f>
        <v>0</v>
      </c>
      <c r="H18" s="187">
        <f>$E17*H17</f>
        <v>0</v>
      </c>
      <c r="I18" s="187">
        <f>$E17*I17</f>
        <v>0</v>
      </c>
      <c r="J18" s="187">
        <f>$E17*J17</f>
        <v>0</v>
      </c>
      <c r="K18" s="194"/>
      <c r="L18" s="194"/>
      <c r="M18" s="194"/>
    </row>
    <row r="19" spans="1:13" s="180" customFormat="1" ht="18" customHeight="1" x14ac:dyDescent="0.25">
      <c r="A19" s="330" t="s">
        <v>272</v>
      </c>
      <c r="B19" s="330"/>
      <c r="D19" s="312" t="s">
        <v>286</v>
      </c>
      <c r="E19" s="316">
        <v>0</v>
      </c>
      <c r="F19" s="184" t="s">
        <v>119</v>
      </c>
      <c r="G19" s="201">
        <v>0</v>
      </c>
      <c r="H19" s="201">
        <v>0</v>
      </c>
      <c r="I19" s="201">
        <v>0</v>
      </c>
      <c r="J19" s="201">
        <v>0</v>
      </c>
      <c r="K19" s="194"/>
      <c r="L19" s="194"/>
      <c r="M19" s="194"/>
    </row>
    <row r="20" spans="1:13" s="180" customFormat="1" ht="18" customHeight="1" x14ac:dyDescent="0.25">
      <c r="A20" s="331"/>
      <c r="B20" s="331"/>
      <c r="D20" s="313"/>
      <c r="E20" s="317"/>
      <c r="F20" s="186" t="s">
        <v>58</v>
      </c>
      <c r="G20" s="187">
        <f>$E19*G19</f>
        <v>0</v>
      </c>
      <c r="H20" s="187">
        <f>$E19*H19</f>
        <v>0</v>
      </c>
      <c r="I20" s="187">
        <f>$E19*I19</f>
        <v>0</v>
      </c>
      <c r="J20" s="187">
        <f>$E19*J19</f>
        <v>0</v>
      </c>
      <c r="K20" s="194"/>
      <c r="L20" s="194"/>
      <c r="M20" s="194"/>
    </row>
    <row r="21" spans="1:13" s="180" customFormat="1" ht="18" customHeight="1" x14ac:dyDescent="0.25">
      <c r="A21" s="304" t="s">
        <v>271</v>
      </c>
      <c r="B21" s="200">
        <v>0</v>
      </c>
      <c r="D21" s="312" t="s">
        <v>286</v>
      </c>
      <c r="E21" s="316">
        <v>0</v>
      </c>
      <c r="F21" s="184" t="s">
        <v>119</v>
      </c>
      <c r="G21" s="201">
        <v>0</v>
      </c>
      <c r="H21" s="201">
        <v>0</v>
      </c>
      <c r="I21" s="201">
        <v>0</v>
      </c>
      <c r="J21" s="201">
        <v>0</v>
      </c>
      <c r="K21" s="189"/>
      <c r="L21" s="189"/>
      <c r="M21" s="189"/>
    </row>
    <row r="22" spans="1:13" s="180" customFormat="1" ht="15.75" x14ac:dyDescent="0.25">
      <c r="D22" s="313"/>
      <c r="E22" s="317"/>
      <c r="F22" s="186" t="s">
        <v>58</v>
      </c>
      <c r="G22" s="187">
        <f>$E21*G21</f>
        <v>0</v>
      </c>
      <c r="H22" s="187">
        <f>$E21*H21</f>
        <v>0</v>
      </c>
      <c r="I22" s="187">
        <f>$E21*I21</f>
        <v>0</v>
      </c>
      <c r="J22" s="187">
        <f>$E21*J21</f>
        <v>0</v>
      </c>
      <c r="K22" s="182"/>
      <c r="L22" s="182"/>
      <c r="M22" s="182"/>
    </row>
    <row r="23" spans="1:13" s="180" customFormat="1" ht="18.75" customHeight="1" x14ac:dyDescent="0.25">
      <c r="A23" s="217" t="s">
        <v>141</v>
      </c>
      <c r="B23" s="217"/>
      <c r="K23" s="182"/>
      <c r="L23" s="182"/>
      <c r="M23" s="182"/>
    </row>
    <row r="24" spans="1:13" s="180" customFormat="1" ht="18" customHeight="1" x14ac:dyDescent="0.25">
      <c r="A24" s="305" t="s">
        <v>15</v>
      </c>
      <c r="B24" s="302">
        <f>(13/12)/12*(1+(1/3))</f>
        <v>0.12037037037037036</v>
      </c>
      <c r="K24" s="182"/>
      <c r="L24" s="182"/>
      <c r="M24" s="182"/>
    </row>
    <row r="25" spans="1:13" s="179" customFormat="1" ht="18" customHeight="1" x14ac:dyDescent="0.25">
      <c r="A25" s="305" t="s">
        <v>16</v>
      </c>
      <c r="B25" s="302">
        <f>5.96/360</f>
        <v>1.6555555555555556E-2</v>
      </c>
      <c r="K25" s="182"/>
      <c r="L25" s="182"/>
      <c r="M25" s="182"/>
    </row>
    <row r="26" spans="1:13" s="179" customFormat="1" ht="18" customHeight="1" x14ac:dyDescent="0.25">
      <c r="A26" s="305" t="s">
        <v>17</v>
      </c>
      <c r="B26" s="302">
        <f>4/12*0.5524*0.03</f>
        <v>5.5239999999999994E-3</v>
      </c>
      <c r="K26" s="182"/>
      <c r="L26" s="182"/>
      <c r="M26" s="182"/>
    </row>
    <row r="27" spans="1:13" s="179" customFormat="1" ht="18" customHeight="1" x14ac:dyDescent="0.25">
      <c r="A27" s="305" t="s">
        <v>18</v>
      </c>
      <c r="B27" s="302">
        <f>5/360*0.015</f>
        <v>2.0833333333333332E-4</v>
      </c>
      <c r="K27" s="182"/>
      <c r="L27" s="182"/>
      <c r="M27" s="182"/>
    </row>
    <row r="28" spans="1:13" s="179" customFormat="1" ht="18" customHeight="1" x14ac:dyDescent="0.25">
      <c r="A28" s="305" t="s">
        <v>19</v>
      </c>
      <c r="B28" s="302">
        <f>2.96/360</f>
        <v>8.2222222222222228E-3</v>
      </c>
      <c r="K28" s="182"/>
      <c r="L28" s="182"/>
      <c r="M28" s="182"/>
    </row>
    <row r="29" spans="1:13" s="179" customFormat="1" ht="18" customHeight="1" x14ac:dyDescent="0.25">
      <c r="A29" s="305" t="s">
        <v>40</v>
      </c>
      <c r="B29" s="302">
        <f>15/360*0.0078</f>
        <v>3.2499999999999999E-4</v>
      </c>
      <c r="K29" s="182"/>
      <c r="L29" s="182"/>
      <c r="M29" s="182"/>
    </row>
    <row r="30" spans="1:13" s="157" customFormat="1" ht="18" customHeight="1" x14ac:dyDescent="0.25">
      <c r="A30" s="305" t="s">
        <v>20</v>
      </c>
      <c r="B30" s="302">
        <f>7/360</f>
        <v>1.9444444444444445E-2</v>
      </c>
      <c r="K30" s="182"/>
      <c r="L30" s="182"/>
      <c r="M30" s="182"/>
    </row>
    <row r="31" spans="1:13" s="157" customFormat="1" ht="18" customHeight="1" x14ac:dyDescent="0.25">
      <c r="A31" s="305" t="s">
        <v>21</v>
      </c>
      <c r="B31" s="302">
        <f>(13/12)/12</f>
        <v>9.0277777777777776E-2</v>
      </c>
      <c r="K31" s="189"/>
      <c r="L31" s="189"/>
      <c r="M31" s="182"/>
    </row>
    <row r="32" spans="1:13" s="157" customFormat="1" ht="18" customHeight="1" x14ac:dyDescent="0.25">
      <c r="A32" s="306" t="s">
        <v>208</v>
      </c>
      <c r="B32" s="303">
        <f>'Condições Gerais'!B28*(1+0.1111+0.0833)*0.5</f>
        <v>4.7775999999999999E-2</v>
      </c>
      <c r="K32" s="182"/>
      <c r="L32" s="182"/>
      <c r="M32" s="182"/>
    </row>
    <row r="33" spans="1:13" s="180" customFormat="1" ht="18" customHeight="1" x14ac:dyDescent="0.25">
      <c r="A33" s="300"/>
      <c r="B33" s="301">
        <f>SUM(B24:B32)</f>
        <v>0.3087037037037037</v>
      </c>
      <c r="K33" s="182"/>
      <c r="L33" s="182"/>
      <c r="M33" s="182"/>
    </row>
    <row r="34" spans="1:13" ht="18" customHeight="1" x14ac:dyDescent="0.25">
      <c r="A34" s="307" t="s">
        <v>282</v>
      </c>
      <c r="B34" s="307"/>
    </row>
    <row r="35" spans="1:13" ht="18" customHeight="1" x14ac:dyDescent="0.25">
      <c r="A35" s="307"/>
      <c r="B35" s="307"/>
    </row>
    <row r="36" spans="1:13" ht="18" customHeight="1" x14ac:dyDescent="0.25">
      <c r="A36" s="307"/>
      <c r="B36" s="307"/>
    </row>
    <row r="37" spans="1:13" ht="18" customHeight="1" x14ac:dyDescent="0.25">
      <c r="A37" s="307" t="s">
        <v>270</v>
      </c>
      <c r="B37" s="307"/>
    </row>
    <row r="38" spans="1:13" ht="18" customHeight="1" x14ac:dyDescent="0.25">
      <c r="A38" s="307"/>
      <c r="B38" s="307"/>
    </row>
    <row r="39" spans="1:13" ht="18" customHeight="1" x14ac:dyDescent="0.25">
      <c r="A39" s="307"/>
      <c r="B39" s="307"/>
    </row>
    <row r="40" spans="1:13" ht="18" customHeight="1" x14ac:dyDescent="0.25">
      <c r="A40" s="307"/>
      <c r="B40" s="307"/>
    </row>
    <row r="42" spans="1:13" ht="18" customHeight="1" x14ac:dyDescent="0.25">
      <c r="A42" s="194" t="s">
        <v>199</v>
      </c>
      <c r="B42" s="197">
        <f>'Condições Gerais'!B42</f>
        <v>9</v>
      </c>
    </row>
    <row r="43" spans="1:13" ht="18" customHeight="1" x14ac:dyDescent="0.25">
      <c r="A43" s="194" t="s">
        <v>214</v>
      </c>
      <c r="B43" s="198">
        <f>'Condições Gerais'!B43</f>
        <v>59785.454802800115</v>
      </c>
    </row>
    <row r="44" spans="1:13" ht="18" customHeight="1" x14ac:dyDescent="0.25">
      <c r="A44" s="194" t="s">
        <v>215</v>
      </c>
      <c r="B44" s="198">
        <f>'Condições Gerais'!B44</f>
        <v>717425.45763360139</v>
      </c>
    </row>
  </sheetData>
  <sheetProtection algorithmName="SHA-512" hashValue="AhdSy7Vsr2LzjOxjTp2GmX3ChD/ZdRG2X4g5yl1Z6M7KmhX70RFiwByCHnaEKr7HsEoXb33HpVqq4CdSwi+Whg==" saltValue="GduEmlQC86q2xDDDOvocuA==" spinCount="100000" sheet="1" objects="1" scenarios="1"/>
  <mergeCells count="32">
    <mergeCell ref="M6:M7"/>
    <mergeCell ref="L6:L7"/>
    <mergeCell ref="K6:K7"/>
    <mergeCell ref="H3:H4"/>
    <mergeCell ref="I3:I4"/>
    <mergeCell ref="J3:J4"/>
    <mergeCell ref="A1:J1"/>
    <mergeCell ref="A2:J2"/>
    <mergeCell ref="E21:E22"/>
    <mergeCell ref="G3:G4"/>
    <mergeCell ref="D17:D18"/>
    <mergeCell ref="E17:E18"/>
    <mergeCell ref="D19:D20"/>
    <mergeCell ref="E19:E20"/>
    <mergeCell ref="D3:F4"/>
    <mergeCell ref="D5:F5"/>
    <mergeCell ref="D6:F6"/>
    <mergeCell ref="A3:B4"/>
    <mergeCell ref="A19:B20"/>
    <mergeCell ref="D7:F7"/>
    <mergeCell ref="D8:F8"/>
    <mergeCell ref="A34:B36"/>
    <mergeCell ref="A37:B40"/>
    <mergeCell ref="D9:D10"/>
    <mergeCell ref="E9:E10"/>
    <mergeCell ref="D11:D12"/>
    <mergeCell ref="E11:E12"/>
    <mergeCell ref="D13:D14"/>
    <mergeCell ref="E13:E14"/>
    <mergeCell ref="D15:D16"/>
    <mergeCell ref="E15:E16"/>
    <mergeCell ref="D21:D22"/>
  </mergeCells>
  <printOptions horizontalCentered="1"/>
  <pageMargins left="0.16" right="0.18" top="0.39" bottom="0.23" header="0.31496062992125984" footer="0.12"/>
  <pageSetup paperSize="9" scale="71" orientation="landscape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J86"/>
  <sheetViews>
    <sheetView showGridLines="0" topLeftCell="A61" workbookViewId="0">
      <selection activeCell="F89" sqref="F89"/>
    </sheetView>
  </sheetViews>
  <sheetFormatPr defaultColWidth="9.140625" defaultRowHeight="12.75" customHeight="1" x14ac:dyDescent="0.25"/>
  <cols>
    <col min="1" max="1" width="2.140625" style="58" customWidth="1"/>
    <col min="2" max="2" width="10.42578125" style="58" customWidth="1"/>
    <col min="3" max="3" width="5.140625" style="58" customWidth="1"/>
    <col min="4" max="4" width="39.7109375" style="58" customWidth="1"/>
    <col min="5" max="5" width="14.7109375" style="58" customWidth="1"/>
    <col min="6" max="6" width="16.140625" style="59" customWidth="1"/>
    <col min="7" max="7" width="14.7109375" style="58" customWidth="1"/>
    <col min="8" max="8" width="9.140625" style="58"/>
    <col min="9" max="9" width="10.28515625" style="58" bestFit="1" customWidth="1"/>
    <col min="10" max="16384" width="9.140625" style="58"/>
  </cols>
  <sheetData>
    <row r="1" spans="2:7" ht="12.75" customHeight="1" x14ac:dyDescent="0.25">
      <c r="B1" s="412" t="str">
        <f>'Condições Gerais'!A1</f>
        <v>SECRETARIA MUNICIPAL DE CULTURA</v>
      </c>
      <c r="C1" s="412"/>
      <c r="D1" s="412"/>
      <c r="E1" s="412"/>
      <c r="F1" s="412"/>
    </row>
    <row r="3" spans="2:7" ht="12.75" customHeight="1" x14ac:dyDescent="0.25">
      <c r="B3" s="412" t="s">
        <v>0</v>
      </c>
      <c r="C3" s="412"/>
      <c r="D3" s="412"/>
      <c r="E3" s="412"/>
      <c r="F3" s="412"/>
    </row>
    <row r="5" spans="2:7" ht="12.75" customHeight="1" x14ac:dyDescent="0.25">
      <c r="B5" s="65" t="s">
        <v>138</v>
      </c>
      <c r="C5" s="66"/>
      <c r="D5" s="67"/>
      <c r="E5" s="68" t="s">
        <v>42</v>
      </c>
      <c r="F5" s="68" t="s">
        <v>61</v>
      </c>
    </row>
    <row r="6" spans="2:7" ht="12.75" customHeight="1" x14ac:dyDescent="0.25">
      <c r="B6" s="144" t="str">
        <f>'Condições Gerais'!K6</f>
        <v>05-</v>
      </c>
      <c r="C6" s="91"/>
      <c r="D6" s="92"/>
      <c r="E6" s="141">
        <f>'Condições Gerais'!K17</f>
        <v>220</v>
      </c>
      <c r="F6" s="142">
        <f>'Condições Gerais'!K18</f>
        <v>0</v>
      </c>
    </row>
    <row r="8" spans="2:7" ht="12.75" customHeight="1" x14ac:dyDescent="0.25">
      <c r="B8" s="158" t="s">
        <v>63</v>
      </c>
      <c r="C8" s="46"/>
      <c r="D8" s="46"/>
      <c r="E8" s="147" t="s">
        <v>164</v>
      </c>
      <c r="F8" s="93" t="s">
        <v>58</v>
      </c>
    </row>
    <row r="9" spans="2:7" ht="12.75" customHeight="1" x14ac:dyDescent="0.25">
      <c r="B9" s="94"/>
      <c r="C9" s="3">
        <v>1</v>
      </c>
      <c r="D9" s="40" t="s">
        <v>28</v>
      </c>
      <c r="E9" s="44"/>
      <c r="F9" s="4">
        <f>'Condições Gerais'!K9</f>
        <v>0</v>
      </c>
    </row>
    <row r="10" spans="2:7" ht="12.75" customHeight="1" x14ac:dyDescent="0.25">
      <c r="B10" s="95"/>
      <c r="C10" s="3">
        <v>2</v>
      </c>
      <c r="D10" s="40" t="s">
        <v>47</v>
      </c>
      <c r="E10" s="44"/>
      <c r="F10" s="4">
        <f>'Condições Gerais'!K10</f>
        <v>0</v>
      </c>
    </row>
    <row r="11" spans="2:7" ht="12.75" customHeight="1" x14ac:dyDescent="0.25">
      <c r="B11" s="95"/>
      <c r="C11" s="3">
        <v>3</v>
      </c>
      <c r="D11" s="40" t="s">
        <v>48</v>
      </c>
      <c r="E11" s="44"/>
      <c r="F11" s="4">
        <f>'Condições Gerais'!K12</f>
        <v>0</v>
      </c>
    </row>
    <row r="12" spans="2:7" ht="12.75" customHeight="1" x14ac:dyDescent="0.25">
      <c r="B12" s="95"/>
      <c r="C12" s="3">
        <v>4</v>
      </c>
      <c r="D12" s="40" t="s">
        <v>31</v>
      </c>
      <c r="E12" s="146">
        <f>'Condições Gerais'!K20</f>
        <v>0</v>
      </c>
      <c r="F12" s="4">
        <f>'Condições Gerais'!K21</f>
        <v>0</v>
      </c>
      <c r="G12" s="96"/>
    </row>
    <row r="13" spans="2:7" ht="12.75" customHeight="1" x14ac:dyDescent="0.25">
      <c r="B13" s="95"/>
      <c r="C13" s="3">
        <v>5</v>
      </c>
      <c r="D13" s="40" t="s">
        <v>122</v>
      </c>
      <c r="E13" s="146">
        <f>'Condições Gerais'!K24</f>
        <v>0</v>
      </c>
      <c r="F13" s="4">
        <f>'Condições Gerais'!K25</f>
        <v>0</v>
      </c>
    </row>
    <row r="14" spans="2:7" ht="12.75" customHeight="1" x14ac:dyDescent="0.25">
      <c r="B14" s="95"/>
      <c r="C14" s="3">
        <v>6</v>
      </c>
      <c r="D14" s="40" t="s">
        <v>224</v>
      </c>
      <c r="E14" s="146">
        <f>'Condições Gerais'!K28</f>
        <v>0</v>
      </c>
      <c r="F14" s="4">
        <f>'Condições Gerais'!K29</f>
        <v>0</v>
      </c>
    </row>
    <row r="15" spans="2:7" ht="12.75" customHeight="1" x14ac:dyDescent="0.25">
      <c r="B15" s="95"/>
      <c r="C15" s="3">
        <v>7</v>
      </c>
      <c r="D15" s="40" t="s">
        <v>29</v>
      </c>
      <c r="E15" s="146">
        <f>'Condições Gerais'!K30</f>
        <v>0</v>
      </c>
      <c r="F15" s="4">
        <f>'Condições Gerais'!K31</f>
        <v>0</v>
      </c>
    </row>
    <row r="16" spans="2:7" ht="12.75" customHeight="1" x14ac:dyDescent="0.25">
      <c r="B16" s="95"/>
      <c r="C16" s="3">
        <v>8</v>
      </c>
      <c r="D16" s="160" t="s">
        <v>235</v>
      </c>
      <c r="E16" s="146">
        <f>'Condições Gerais'!K26</f>
        <v>0</v>
      </c>
      <c r="F16" s="4">
        <f>'Condições Gerais'!K27</f>
        <v>0</v>
      </c>
    </row>
    <row r="17" spans="2:6" ht="12.75" customHeight="1" x14ac:dyDescent="0.25">
      <c r="B17" s="97"/>
      <c r="C17" s="22">
        <v>9</v>
      </c>
      <c r="D17" s="40" t="s">
        <v>46</v>
      </c>
      <c r="E17" s="44"/>
      <c r="F17" s="4">
        <f>(F12+F13+F14+F15+F16)/24*6</f>
        <v>0</v>
      </c>
    </row>
    <row r="18" spans="2:6" ht="12.75" customHeight="1" x14ac:dyDescent="0.25">
      <c r="B18" s="159" t="s">
        <v>113</v>
      </c>
      <c r="C18" s="46"/>
      <c r="D18" s="46"/>
      <c r="E18" s="47"/>
      <c r="F18" s="32">
        <f>SUM(F9:F17)</f>
        <v>0</v>
      </c>
    </row>
    <row r="20" spans="2:6" ht="12.75" customHeight="1" x14ac:dyDescent="0.25">
      <c r="B20" s="45" t="s">
        <v>62</v>
      </c>
      <c r="C20" s="46"/>
      <c r="D20" s="47"/>
      <c r="E20" s="98" t="s">
        <v>4</v>
      </c>
      <c r="F20" s="93" t="s">
        <v>58</v>
      </c>
    </row>
    <row r="21" spans="2:6" ht="12.75" customHeight="1" x14ac:dyDescent="0.25">
      <c r="B21" s="408" t="s">
        <v>3</v>
      </c>
      <c r="C21" s="5">
        <v>1</v>
      </c>
      <c r="D21" s="36" t="str">
        <f>'Condições Gerais'!A23</f>
        <v>INSS</v>
      </c>
      <c r="E21" s="6">
        <f>'Condições Gerais'!B23</f>
        <v>0.2</v>
      </c>
      <c r="F21" s="7">
        <f>E21*$F$18</f>
        <v>0</v>
      </c>
    </row>
    <row r="22" spans="2:6" ht="12.75" customHeight="1" x14ac:dyDescent="0.25">
      <c r="B22" s="409"/>
      <c r="C22" s="5">
        <v>2</v>
      </c>
      <c r="D22" s="36" t="str">
        <f>'Condições Gerais'!A24</f>
        <v>SESI ou SESC</v>
      </c>
      <c r="E22" s="6">
        <f>'Condições Gerais'!B24</f>
        <v>1.4999999999999999E-2</v>
      </c>
      <c r="F22" s="7">
        <f t="shared" ref="F22:F28" si="0">E22*$F$18</f>
        <v>0</v>
      </c>
    </row>
    <row r="23" spans="2:6" ht="12.75" customHeight="1" x14ac:dyDescent="0.25">
      <c r="B23" s="409"/>
      <c r="C23" s="5">
        <v>3</v>
      </c>
      <c r="D23" s="36" t="str">
        <f>'Condições Gerais'!A25</f>
        <v>SENAI ou SENAC</v>
      </c>
      <c r="E23" s="6">
        <f>'Condições Gerais'!B25</f>
        <v>0.01</v>
      </c>
      <c r="F23" s="7">
        <f t="shared" si="0"/>
        <v>0</v>
      </c>
    </row>
    <row r="24" spans="2:6" ht="12.75" customHeight="1" x14ac:dyDescent="0.25">
      <c r="B24" s="409"/>
      <c r="C24" s="5">
        <v>4</v>
      </c>
      <c r="D24" s="36" t="str">
        <f>'Condições Gerais'!A26</f>
        <v>INCRA</v>
      </c>
      <c r="E24" s="6">
        <f>'Condições Gerais'!B26</f>
        <v>2E-3</v>
      </c>
      <c r="F24" s="7">
        <f t="shared" si="0"/>
        <v>0</v>
      </c>
    </row>
    <row r="25" spans="2:6" ht="12.75" customHeight="1" x14ac:dyDescent="0.25">
      <c r="B25" s="409"/>
      <c r="C25" s="5">
        <v>5</v>
      </c>
      <c r="D25" s="36" t="str">
        <f>'Condições Gerais'!A27</f>
        <v>Salário educação</v>
      </c>
      <c r="E25" s="6">
        <f>'Condições Gerais'!B27</f>
        <v>2.5000000000000001E-2</v>
      </c>
      <c r="F25" s="7">
        <f t="shared" si="0"/>
        <v>0</v>
      </c>
    </row>
    <row r="26" spans="2:6" ht="12.75" customHeight="1" x14ac:dyDescent="0.25">
      <c r="B26" s="409"/>
      <c r="C26" s="5">
        <v>6</v>
      </c>
      <c r="D26" s="36" t="str">
        <f>'Condições Gerais'!A28</f>
        <v>FGTS</v>
      </c>
      <c r="E26" s="6">
        <f>'Condições Gerais'!B28</f>
        <v>0.08</v>
      </c>
      <c r="F26" s="7">
        <f t="shared" si="0"/>
        <v>0</v>
      </c>
    </row>
    <row r="27" spans="2:6" ht="12.75" customHeight="1" x14ac:dyDescent="0.25">
      <c r="B27" s="409"/>
      <c r="C27" s="5">
        <v>7</v>
      </c>
      <c r="D27" s="36" t="str">
        <f>'Condições Gerais'!A29</f>
        <v>Seguro acidente do trabalho</v>
      </c>
      <c r="E27" s="6">
        <f>'Condições Gerais'!B29</f>
        <v>0.02</v>
      </c>
      <c r="F27" s="7">
        <f t="shared" si="0"/>
        <v>0</v>
      </c>
    </row>
    <row r="28" spans="2:6" ht="12.75" customHeight="1" x14ac:dyDescent="0.25">
      <c r="B28" s="409"/>
      <c r="C28" s="5">
        <v>8</v>
      </c>
      <c r="D28" s="36" t="str">
        <f>'Condições Gerais'!A30</f>
        <v>SEBRAE</v>
      </c>
      <c r="E28" s="6">
        <f>'Condições Gerais'!B30</f>
        <v>6.0000000000000001E-3</v>
      </c>
      <c r="F28" s="7">
        <f t="shared" si="0"/>
        <v>0</v>
      </c>
    </row>
    <row r="29" spans="2:6" ht="12.75" customHeight="1" x14ac:dyDescent="0.25">
      <c r="B29" s="410"/>
      <c r="C29" s="8" t="s">
        <v>13</v>
      </c>
      <c r="D29" s="8"/>
      <c r="E29" s="9">
        <f>SUM(E21:E28)</f>
        <v>0.3580000000000001</v>
      </c>
      <c r="F29" s="10">
        <f>SUM(F21:F28)</f>
        <v>0</v>
      </c>
    </row>
    <row r="30" spans="2:6" ht="12.75" customHeight="1" x14ac:dyDescent="0.25">
      <c r="B30" s="404" t="s">
        <v>14</v>
      </c>
      <c r="C30" s="148">
        <v>9</v>
      </c>
      <c r="D30" s="36" t="str">
        <f>'Condições Gerais'!A12</f>
        <v xml:space="preserve">Férias </v>
      </c>
      <c r="E30" s="6">
        <f>'Condições Gerais'!B12</f>
        <v>0.12037037037037036</v>
      </c>
      <c r="F30" s="7">
        <f>E30*$F$18</f>
        <v>0</v>
      </c>
    </row>
    <row r="31" spans="2:6" ht="12.75" customHeight="1" x14ac:dyDescent="0.25">
      <c r="B31" s="404"/>
      <c r="C31" s="148">
        <v>10</v>
      </c>
      <c r="D31" s="36" t="str">
        <f>'Condições Gerais'!A13</f>
        <v>Auxílio doença</v>
      </c>
      <c r="E31" s="6">
        <f>'Condições Gerais'!B13</f>
        <v>1.6555555555555556E-2</v>
      </c>
      <c r="F31" s="7">
        <f t="shared" ref="F31:F41" si="1">E31*$F$18</f>
        <v>0</v>
      </c>
    </row>
    <row r="32" spans="2:6" ht="12.75" customHeight="1" x14ac:dyDescent="0.25">
      <c r="B32" s="404"/>
      <c r="C32" s="148">
        <v>11</v>
      </c>
      <c r="D32" s="36" t="str">
        <f>'Condições Gerais'!A14</f>
        <v>Licença maternidade</v>
      </c>
      <c r="E32" s="6">
        <f>'Condições Gerais'!B14</f>
        <v>5.5239999999999994E-3</v>
      </c>
      <c r="F32" s="7">
        <f t="shared" si="1"/>
        <v>0</v>
      </c>
    </row>
    <row r="33" spans="2:10" ht="12.75" customHeight="1" x14ac:dyDescent="0.25">
      <c r="B33" s="404"/>
      <c r="C33" s="148">
        <v>12</v>
      </c>
      <c r="D33" s="36" t="str">
        <f>'Condições Gerais'!A15</f>
        <v>Licença paternidade</v>
      </c>
      <c r="E33" s="6">
        <f>'Condições Gerais'!B15</f>
        <v>2.0833333333333332E-4</v>
      </c>
      <c r="F33" s="7">
        <f t="shared" si="1"/>
        <v>0</v>
      </c>
    </row>
    <row r="34" spans="2:10" ht="12.75" customHeight="1" x14ac:dyDescent="0.25">
      <c r="B34" s="404"/>
      <c r="C34" s="148">
        <v>13</v>
      </c>
      <c r="D34" s="36" t="str">
        <f>'Condições Gerais'!A16</f>
        <v>Faltas legais</v>
      </c>
      <c r="E34" s="6">
        <f>'Condições Gerais'!B16</f>
        <v>8.2222222222222228E-3</v>
      </c>
      <c r="F34" s="7">
        <f t="shared" si="1"/>
        <v>0</v>
      </c>
    </row>
    <row r="35" spans="2:10" ht="12.75" customHeight="1" x14ac:dyDescent="0.25">
      <c r="B35" s="404"/>
      <c r="C35" s="148">
        <v>14</v>
      </c>
      <c r="D35" s="36" t="str">
        <f>'Condições Gerais'!A17</f>
        <v>Acidente de trabalho</v>
      </c>
      <c r="E35" s="6">
        <f>'Condições Gerais'!B17</f>
        <v>3.2499999999999999E-4</v>
      </c>
      <c r="F35" s="7">
        <f t="shared" si="1"/>
        <v>0</v>
      </c>
    </row>
    <row r="36" spans="2:10" ht="12.75" customHeight="1" x14ac:dyDescent="0.25">
      <c r="B36" s="404"/>
      <c r="C36" s="148">
        <v>15</v>
      </c>
      <c r="D36" s="36" t="str">
        <f>'Condições Gerais'!A18</f>
        <v>Aviso Prévio</v>
      </c>
      <c r="E36" s="6">
        <f>'Condições Gerais'!B18</f>
        <v>1.9444444444444445E-2</v>
      </c>
      <c r="F36" s="7">
        <f t="shared" si="1"/>
        <v>0</v>
      </c>
    </row>
    <row r="37" spans="2:10" ht="12.75" customHeight="1" x14ac:dyDescent="0.25">
      <c r="B37" s="404"/>
      <c r="C37" s="148">
        <v>16</v>
      </c>
      <c r="D37" s="36" t="str">
        <f>'Condições Gerais'!A19</f>
        <v>13º Salário</v>
      </c>
      <c r="E37" s="6">
        <f>'Condições Gerais'!B19</f>
        <v>9.0277777777777776E-2</v>
      </c>
      <c r="F37" s="7">
        <f t="shared" si="1"/>
        <v>0</v>
      </c>
    </row>
    <row r="38" spans="2:10" ht="12.75" customHeight="1" x14ac:dyDescent="0.25">
      <c r="B38" s="404"/>
      <c r="C38" s="11" t="s">
        <v>22</v>
      </c>
      <c r="D38" s="11"/>
      <c r="E38" s="12">
        <f>SUM(E30:E37)</f>
        <v>0.26092770370370372</v>
      </c>
      <c r="F38" s="13">
        <f>SUM(F30:F37)</f>
        <v>0</v>
      </c>
    </row>
    <row r="39" spans="2:10" ht="12.75" customHeight="1" x14ac:dyDescent="0.25">
      <c r="B39" s="405" t="s">
        <v>23</v>
      </c>
      <c r="C39" s="149">
        <v>17</v>
      </c>
      <c r="D39" s="37" t="str">
        <f>'Condições Gerais'!A20</f>
        <v>Indenizações  - rescisões s/ justa causa</v>
      </c>
      <c r="E39" s="14">
        <f>'Condições Gerais'!B20</f>
        <v>4.7775999999999999E-2</v>
      </c>
      <c r="F39" s="7">
        <f t="shared" si="1"/>
        <v>0</v>
      </c>
    </row>
    <row r="40" spans="2:10" ht="12.75" customHeight="1" x14ac:dyDescent="0.25">
      <c r="B40" s="405"/>
      <c r="C40" s="15" t="s">
        <v>24</v>
      </c>
      <c r="D40" s="15"/>
      <c r="E40" s="16">
        <f>SUM(E39)</f>
        <v>4.7775999999999999E-2</v>
      </c>
      <c r="F40" s="17">
        <f>SUM(F39)</f>
        <v>0</v>
      </c>
    </row>
    <row r="41" spans="2:10" s="1" customFormat="1" ht="25.5" customHeight="1" x14ac:dyDescent="0.25">
      <c r="B41" s="406" t="s">
        <v>33</v>
      </c>
      <c r="C41" s="33">
        <v>18</v>
      </c>
      <c r="D41" s="18" t="s">
        <v>37</v>
      </c>
      <c r="E41" s="34">
        <f>E29*E38</f>
        <v>9.341211792592595E-2</v>
      </c>
      <c r="F41" s="35">
        <f t="shared" si="1"/>
        <v>0</v>
      </c>
      <c r="G41" s="58"/>
      <c r="H41" s="58"/>
      <c r="I41" s="58"/>
      <c r="J41" s="58"/>
    </row>
    <row r="42" spans="2:10" ht="12.75" customHeight="1" x14ac:dyDescent="0.25">
      <c r="B42" s="406"/>
      <c r="C42" s="19" t="s">
        <v>25</v>
      </c>
      <c r="D42" s="19"/>
      <c r="E42" s="20">
        <f>SUM(E41)</f>
        <v>9.341211792592595E-2</v>
      </c>
      <c r="F42" s="21">
        <f>SUM(F41)</f>
        <v>0</v>
      </c>
    </row>
    <row r="43" spans="2:10" ht="12.75" customHeight="1" x14ac:dyDescent="0.25">
      <c r="B43" s="48" t="s">
        <v>114</v>
      </c>
      <c r="C43" s="49"/>
      <c r="D43" s="50"/>
      <c r="E43" s="20">
        <f>E29+E38+E40+E42</f>
        <v>0.76011582162962976</v>
      </c>
      <c r="F43" s="21">
        <f>F29+F38+F40+F42</f>
        <v>0</v>
      </c>
    </row>
    <row r="45" spans="2:10" ht="25.5" customHeight="1" x14ac:dyDescent="0.25">
      <c r="B45" s="99" t="s">
        <v>142</v>
      </c>
      <c r="C45" s="100"/>
      <c r="D45" s="100"/>
      <c r="E45" s="101" t="s">
        <v>118</v>
      </c>
      <c r="F45" s="93" t="s">
        <v>58</v>
      </c>
    </row>
    <row r="46" spans="2:10" ht="12.75" customHeight="1" x14ac:dyDescent="0.25">
      <c r="B46" s="94"/>
      <c r="C46" s="22">
        <v>1</v>
      </c>
      <c r="D46" s="51" t="s">
        <v>140</v>
      </c>
      <c r="E46" s="61">
        <f>(F9*0.06)</f>
        <v>0</v>
      </c>
      <c r="F46" s="23">
        <f>IF(('Condições Gerais'!K33-E46)&lt;0,0,'Condições Gerais'!K33-E46)</f>
        <v>0</v>
      </c>
      <c r="G46" s="150"/>
    </row>
    <row r="47" spans="2:10" ht="12.75" customHeight="1" x14ac:dyDescent="0.25">
      <c r="B47" s="95"/>
      <c r="C47" s="22">
        <v>2</v>
      </c>
      <c r="D47" s="62" t="s">
        <v>124</v>
      </c>
      <c r="E47" s="61">
        <f>'Condições Gerais'!K37*'Condições Gerais'!K36</f>
        <v>0</v>
      </c>
      <c r="F47" s="23">
        <f>'Condições Gerais'!K37-E47</f>
        <v>0</v>
      </c>
    </row>
    <row r="48" spans="2:10" ht="12.75" customHeight="1" x14ac:dyDescent="0.25">
      <c r="B48" s="95"/>
      <c r="C48" s="22">
        <v>3</v>
      </c>
      <c r="D48" s="63" t="s">
        <v>133</v>
      </c>
      <c r="E48" s="139" t="s">
        <v>41</v>
      </c>
      <c r="F48" s="23">
        <f>'Condições Gerais'!K41</f>
        <v>0</v>
      </c>
    </row>
    <row r="49" spans="2:6" ht="12.75" customHeight="1" x14ac:dyDescent="0.25">
      <c r="B49" s="95"/>
      <c r="C49" s="22">
        <v>4</v>
      </c>
      <c r="D49" s="62" t="str">
        <f>'Condições Gerais'!D22</f>
        <v>INTRAJORNADA (indenizatória)</v>
      </c>
      <c r="E49" s="139" t="s">
        <v>41</v>
      </c>
      <c r="F49" s="23">
        <f>'Condições Gerais'!K23</f>
        <v>0</v>
      </c>
    </row>
    <row r="50" spans="2:6" ht="12.75" customHeight="1" x14ac:dyDescent="0.25">
      <c r="B50" s="95"/>
      <c r="C50" s="22">
        <v>5</v>
      </c>
      <c r="D50" s="62" t="str">
        <f>'Condições Gerais'!D42</f>
        <v>PAF (CCT2024, Cláus. 14ª, §4º)</v>
      </c>
      <c r="E50" s="139" t="s">
        <v>41</v>
      </c>
      <c r="F50" s="23">
        <f>'Condições Gerais'!K43</f>
        <v>0</v>
      </c>
    </row>
    <row r="51" spans="2:6" ht="12.75" customHeight="1" x14ac:dyDescent="0.25">
      <c r="B51" s="95"/>
      <c r="C51" s="22">
        <v>6</v>
      </c>
      <c r="D51" s="62" t="str">
        <f>'Condições Gerais'!D44</f>
        <v>Contr. Ass. Patronal (CCT2024, Cláus. 55ª, caput)</v>
      </c>
      <c r="E51" s="139" t="s">
        <v>41</v>
      </c>
      <c r="F51" s="23">
        <f>'Condições Gerais'!K45</f>
        <v>0</v>
      </c>
    </row>
    <row r="52" spans="2:6" ht="12.75" customHeight="1" x14ac:dyDescent="0.25">
      <c r="B52" s="95"/>
      <c r="C52" s="22">
        <v>7</v>
      </c>
      <c r="D52" s="62" t="str">
        <f>'Condições Gerais'!D46</f>
        <v>Outros custos ou benefícios da CCT</v>
      </c>
      <c r="E52" s="139" t="s">
        <v>41</v>
      </c>
      <c r="F52" s="23">
        <f>'Condições Gerais'!K47</f>
        <v>0</v>
      </c>
    </row>
    <row r="53" spans="2:6" ht="12.75" customHeight="1" x14ac:dyDescent="0.25">
      <c r="B53" s="96"/>
      <c r="C53" s="22">
        <v>8</v>
      </c>
      <c r="D53" s="62" t="str">
        <f>'Condições Gerais'!D48</f>
        <v>Outros custos ou benefícios da CCT</v>
      </c>
      <c r="E53" s="139" t="s">
        <v>41</v>
      </c>
      <c r="F53" s="23">
        <f>'Condições Gerais'!K49</f>
        <v>0</v>
      </c>
    </row>
    <row r="54" spans="2:6" ht="12.75" customHeight="1" x14ac:dyDescent="0.25">
      <c r="B54" s="96"/>
      <c r="C54" s="22">
        <v>9</v>
      </c>
      <c r="D54" s="62" t="str">
        <f>'Condições Gerais'!D50</f>
        <v>Outros custos ou benefícios da CCT</v>
      </c>
      <c r="E54" s="139" t="s">
        <v>41</v>
      </c>
      <c r="F54" s="23">
        <f>'Condições Gerais'!K51</f>
        <v>0</v>
      </c>
    </row>
    <row r="55" spans="2:6" ht="12.75" customHeight="1" x14ac:dyDescent="0.25">
      <c r="B55" s="96"/>
      <c r="C55" s="22">
        <v>10</v>
      </c>
      <c r="D55" s="62" t="str">
        <f>'Condições Gerais'!D52</f>
        <v>Outros custos ou benefícios da CCT</v>
      </c>
      <c r="E55" s="139" t="s">
        <v>41</v>
      </c>
      <c r="F55" s="23">
        <f>'Condições Gerais'!K53</f>
        <v>0</v>
      </c>
    </row>
    <row r="56" spans="2:6" ht="12.75" customHeight="1" x14ac:dyDescent="0.25">
      <c r="B56" s="96"/>
      <c r="C56" s="22">
        <v>11</v>
      </c>
      <c r="D56" s="62" t="str">
        <f>'Condições Gerais'!D54</f>
        <v>Outros custos ou benefícios da CCT</v>
      </c>
      <c r="E56" s="139" t="s">
        <v>41</v>
      </c>
      <c r="F56" s="23">
        <f>'Condições Gerais'!K55</f>
        <v>0</v>
      </c>
    </row>
    <row r="57" spans="2:6" ht="12.75" customHeight="1" x14ac:dyDescent="0.25">
      <c r="B57" s="48" t="s">
        <v>143</v>
      </c>
      <c r="C57" s="49"/>
      <c r="D57" s="49"/>
      <c r="E57" s="50"/>
      <c r="F57" s="30">
        <f>SUM(F46:F56)</f>
        <v>0</v>
      </c>
    </row>
    <row r="59" spans="2:6" ht="12.75" customHeight="1" x14ac:dyDescent="0.25">
      <c r="B59" s="45" t="s">
        <v>145</v>
      </c>
      <c r="C59" s="46"/>
      <c r="D59" s="46"/>
      <c r="E59" s="102"/>
      <c r="F59" s="93" t="s">
        <v>58</v>
      </c>
    </row>
    <row r="60" spans="2:6" ht="12.75" customHeight="1" x14ac:dyDescent="0.25">
      <c r="B60" s="40" t="s">
        <v>113</v>
      </c>
      <c r="C60" s="41"/>
      <c r="D60" s="41"/>
      <c r="E60" s="102"/>
      <c r="F60" s="38">
        <f>F18</f>
        <v>0</v>
      </c>
    </row>
    <row r="61" spans="2:6" ht="12.75" customHeight="1" x14ac:dyDescent="0.25">
      <c r="B61" s="42" t="s">
        <v>114</v>
      </c>
      <c r="C61" s="43"/>
      <c r="D61" s="43"/>
      <c r="E61" s="102"/>
      <c r="F61" s="39">
        <f>F43</f>
        <v>0</v>
      </c>
    </row>
    <row r="62" spans="2:6" ht="12.75" customHeight="1" x14ac:dyDescent="0.25">
      <c r="B62" s="42" t="s">
        <v>143</v>
      </c>
      <c r="C62" s="43"/>
      <c r="D62" s="43"/>
      <c r="E62" s="102"/>
      <c r="F62" s="39">
        <f>F57</f>
        <v>0</v>
      </c>
    </row>
    <row r="63" spans="2:6" ht="12.75" customHeight="1" x14ac:dyDescent="0.25">
      <c r="B63" s="65" t="s">
        <v>64</v>
      </c>
      <c r="C63" s="88"/>
      <c r="D63" s="88"/>
      <c r="E63" s="64"/>
      <c r="F63" s="60">
        <f>SUM(F60:F62)</f>
        <v>0</v>
      </c>
    </row>
    <row r="65" spans="2:6" ht="12.75" customHeight="1" x14ac:dyDescent="0.25">
      <c r="B65" s="65" t="s">
        <v>273</v>
      </c>
      <c r="C65" s="66"/>
      <c r="D65" s="66"/>
      <c r="E65" s="103" t="s">
        <v>4</v>
      </c>
      <c r="F65" s="93" t="s">
        <v>58</v>
      </c>
    </row>
    <row r="66" spans="2:6" ht="12.75" customHeight="1" x14ac:dyDescent="0.25">
      <c r="B66" s="65" t="s">
        <v>274</v>
      </c>
      <c r="C66" s="88"/>
      <c r="D66" s="88"/>
      <c r="E66" s="164">
        <f>'Condições Gerais'!B38</f>
        <v>0</v>
      </c>
      <c r="F66" s="165">
        <f>E66*F63</f>
        <v>0</v>
      </c>
    </row>
    <row r="68" spans="2:6" ht="12.75" customHeight="1" x14ac:dyDescent="0.25">
      <c r="B68" s="65" t="s">
        <v>261</v>
      </c>
      <c r="C68" s="66"/>
      <c r="D68" s="66"/>
      <c r="E68" s="166"/>
      <c r="F68" s="93" t="s">
        <v>58</v>
      </c>
    </row>
    <row r="69" spans="2:6" ht="12.75" customHeight="1" x14ac:dyDescent="0.25">
      <c r="B69" s="65" t="s">
        <v>262</v>
      </c>
      <c r="C69" s="88"/>
      <c r="D69" s="88"/>
      <c r="E69" s="167"/>
      <c r="F69" s="165">
        <f>F63+F66</f>
        <v>0</v>
      </c>
    </row>
    <row r="71" spans="2:6" ht="12.75" customHeight="1" x14ac:dyDescent="0.25">
      <c r="B71" s="45" t="s">
        <v>263</v>
      </c>
      <c r="C71" s="46"/>
      <c r="D71" s="47"/>
      <c r="E71" s="103" t="s">
        <v>4</v>
      </c>
      <c r="F71" s="93" t="s">
        <v>38</v>
      </c>
    </row>
    <row r="72" spans="2:6" ht="12.75" customHeight="1" x14ac:dyDescent="0.25">
      <c r="B72" s="28"/>
      <c r="C72" s="3">
        <v>1</v>
      </c>
      <c r="D72" s="24" t="str">
        <f>'Condições Gerais'!A33</f>
        <v>PIS</v>
      </c>
      <c r="E72" s="25">
        <f>'Condições Gerais'!B33</f>
        <v>1.6500000000000001E-2</v>
      </c>
      <c r="F72" s="26">
        <f>E72*F$79</f>
        <v>0</v>
      </c>
    </row>
    <row r="73" spans="2:6" ht="12.75" customHeight="1" x14ac:dyDescent="0.25">
      <c r="B73" s="29"/>
      <c r="C73" s="3">
        <v>2</v>
      </c>
      <c r="D73" s="24" t="str">
        <f>'Condições Gerais'!A34</f>
        <v>COFINS</v>
      </c>
      <c r="E73" s="25">
        <f>'Condições Gerais'!B34</f>
        <v>7.5999999999999998E-2</v>
      </c>
      <c r="F73" s="26">
        <f>E73*F$79</f>
        <v>0</v>
      </c>
    </row>
    <row r="74" spans="2:6" ht="12.75" customHeight="1" x14ac:dyDescent="0.25">
      <c r="B74" s="29"/>
      <c r="C74" s="3">
        <v>3</v>
      </c>
      <c r="D74" s="24" t="str">
        <f>'Condições Gerais'!A35</f>
        <v>ISS</v>
      </c>
      <c r="E74" s="25">
        <f>'Condições Gerais'!B35</f>
        <v>0.05</v>
      </c>
      <c r="F74" s="26">
        <f>E74*F$79</f>
        <v>0</v>
      </c>
    </row>
    <row r="75" spans="2:6" ht="12.75" customHeight="1" x14ac:dyDescent="0.25">
      <c r="B75" s="48" t="s">
        <v>34</v>
      </c>
      <c r="C75" s="49"/>
      <c r="D75" s="50"/>
      <c r="E75" s="27">
        <f>SUM(E72:E74)</f>
        <v>0.14250000000000002</v>
      </c>
      <c r="F75" s="31">
        <f>E75*F$79</f>
        <v>0</v>
      </c>
    </row>
    <row r="77" spans="2:6" ht="12.75" customHeight="1" x14ac:dyDescent="0.25">
      <c r="B77" s="45" t="s">
        <v>264</v>
      </c>
      <c r="C77" s="46"/>
      <c r="D77" s="47"/>
      <c r="E77" s="103" t="s">
        <v>4</v>
      </c>
      <c r="F77" s="93" t="s">
        <v>38</v>
      </c>
    </row>
    <row r="78" spans="2:6" s="104" customFormat="1" ht="12.75" customHeight="1" x14ac:dyDescent="0.25">
      <c r="B78" s="69" t="s">
        <v>265</v>
      </c>
      <c r="C78" s="70"/>
      <c r="D78" s="71"/>
      <c r="E78" s="72">
        <f>1-E75</f>
        <v>0.85749999999999993</v>
      </c>
      <c r="F78" s="140" t="s">
        <v>41</v>
      </c>
    </row>
    <row r="79" spans="2:6" s="104" customFormat="1" ht="12.75" customHeight="1" x14ac:dyDescent="0.25">
      <c r="B79" s="69" t="s">
        <v>125</v>
      </c>
      <c r="C79" s="70"/>
      <c r="D79" s="71"/>
      <c r="E79" s="72">
        <v>1</v>
      </c>
      <c r="F79" s="73">
        <f>F69/E78</f>
        <v>0</v>
      </c>
    </row>
    <row r="80" spans="2:6" s="104" customFormat="1" ht="12.75" customHeight="1" x14ac:dyDescent="0.25">
      <c r="B80" s="74" t="s">
        <v>266</v>
      </c>
      <c r="C80" s="75"/>
      <c r="D80" s="76"/>
      <c r="E80" s="77"/>
      <c r="F80" s="78"/>
    </row>
    <row r="82" spans="2:6" s="104" customFormat="1" ht="25.5" customHeight="1" x14ac:dyDescent="0.25">
      <c r="B82" s="69" t="s">
        <v>268</v>
      </c>
      <c r="C82" s="70"/>
      <c r="D82" s="71"/>
      <c r="E82" s="2" t="s">
        <v>60</v>
      </c>
      <c r="F82" s="68" t="s">
        <v>36</v>
      </c>
    </row>
    <row r="83" spans="2:6" ht="12.75" customHeight="1" x14ac:dyDescent="0.25">
      <c r="B83" s="74"/>
      <c r="C83" s="75"/>
      <c r="D83" s="76"/>
      <c r="E83" s="143">
        <f>'Condições Gerais'!K14</f>
        <v>0</v>
      </c>
      <c r="F83" s="68">
        <f>F79*E83</f>
        <v>0</v>
      </c>
    </row>
    <row r="85" spans="2:6" s="104" customFormat="1" ht="25.5" customHeight="1" x14ac:dyDescent="0.25">
      <c r="B85" s="69" t="s">
        <v>267</v>
      </c>
      <c r="C85" s="70"/>
      <c r="D85" s="71"/>
      <c r="E85" s="2" t="s">
        <v>35</v>
      </c>
      <c r="F85" s="68" t="s">
        <v>59</v>
      </c>
    </row>
    <row r="86" spans="2:6" ht="12.75" customHeight="1" x14ac:dyDescent="0.25">
      <c r="B86" s="74"/>
      <c r="C86" s="75"/>
      <c r="D86" s="76"/>
      <c r="E86" s="105">
        <f>'Condições Gerais'!B8</f>
        <v>12</v>
      </c>
      <c r="F86" s="68">
        <f>F83*E86</f>
        <v>0</v>
      </c>
    </row>
  </sheetData>
  <mergeCells count="6">
    <mergeCell ref="B41:B42"/>
    <mergeCell ref="B1:F1"/>
    <mergeCell ref="B3:F3"/>
    <mergeCell ref="B21:B29"/>
    <mergeCell ref="B30:B38"/>
    <mergeCell ref="B39:B40"/>
  </mergeCells>
  <printOptions horizontalCentered="1"/>
  <pageMargins left="0.98425196850393704" right="0.39370078740157483" top="0.39370078740157483" bottom="0.39370078740157483" header="0.31496062992125984" footer="0.31496062992125984"/>
  <pageSetup paperSize="9" scale="6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J86"/>
  <sheetViews>
    <sheetView showGridLines="0" topLeftCell="A67" workbookViewId="0"/>
  </sheetViews>
  <sheetFormatPr defaultColWidth="9.140625" defaultRowHeight="12.75" customHeight="1" x14ac:dyDescent="0.25"/>
  <cols>
    <col min="1" max="1" width="2.140625" style="58" customWidth="1"/>
    <col min="2" max="2" width="10.42578125" style="58" customWidth="1"/>
    <col min="3" max="3" width="5.140625" style="58" customWidth="1"/>
    <col min="4" max="4" width="39.7109375" style="58" customWidth="1"/>
    <col min="5" max="5" width="14.7109375" style="58" customWidth="1"/>
    <col min="6" max="6" width="16.140625" style="59" customWidth="1"/>
    <col min="7" max="7" width="14.7109375" style="58" customWidth="1"/>
    <col min="8" max="8" width="9.140625" style="58"/>
    <col min="9" max="9" width="10.28515625" style="58" bestFit="1" customWidth="1"/>
    <col min="10" max="16384" width="9.140625" style="58"/>
  </cols>
  <sheetData>
    <row r="1" spans="2:7" ht="12.75" customHeight="1" x14ac:dyDescent="0.25">
      <c r="B1" s="412" t="str">
        <f>'Condições Gerais'!A1</f>
        <v>SECRETARIA MUNICIPAL DE CULTURA</v>
      </c>
      <c r="C1" s="412"/>
      <c r="D1" s="412"/>
      <c r="E1" s="412"/>
      <c r="F1" s="412"/>
    </row>
    <row r="3" spans="2:7" ht="12.75" customHeight="1" x14ac:dyDescent="0.25">
      <c r="B3" s="412" t="s">
        <v>0</v>
      </c>
      <c r="C3" s="412"/>
      <c r="D3" s="412"/>
      <c r="E3" s="412"/>
      <c r="F3" s="412"/>
    </row>
    <row r="5" spans="2:7" ht="12.75" customHeight="1" x14ac:dyDescent="0.25">
      <c r="B5" s="65" t="s">
        <v>138</v>
      </c>
      <c r="C5" s="66"/>
      <c r="D5" s="67"/>
      <c r="E5" s="68" t="s">
        <v>42</v>
      </c>
      <c r="F5" s="68" t="s">
        <v>61</v>
      </c>
    </row>
    <row r="6" spans="2:7" ht="12.75" customHeight="1" x14ac:dyDescent="0.25">
      <c r="B6" s="144" t="str">
        <f>'Condições Gerais'!L6</f>
        <v>06-</v>
      </c>
      <c r="C6" s="91"/>
      <c r="D6" s="92"/>
      <c r="E6" s="141">
        <f>'Condições Gerais'!L17</f>
        <v>220</v>
      </c>
      <c r="F6" s="142">
        <f>'Condições Gerais'!L18</f>
        <v>0</v>
      </c>
    </row>
    <row r="8" spans="2:7" ht="12.75" customHeight="1" x14ac:dyDescent="0.25">
      <c r="B8" s="158" t="s">
        <v>63</v>
      </c>
      <c r="C8" s="46"/>
      <c r="D8" s="46"/>
      <c r="E8" s="147" t="s">
        <v>164</v>
      </c>
      <c r="F8" s="93" t="s">
        <v>58</v>
      </c>
    </row>
    <row r="9" spans="2:7" ht="12.75" customHeight="1" x14ac:dyDescent="0.25">
      <c r="B9" s="94"/>
      <c r="C9" s="3">
        <v>1</v>
      </c>
      <c r="D9" s="40" t="s">
        <v>28</v>
      </c>
      <c r="E9" s="44"/>
      <c r="F9" s="4">
        <f>'Condições Gerais'!L9</f>
        <v>0</v>
      </c>
    </row>
    <row r="10" spans="2:7" ht="12.75" customHeight="1" x14ac:dyDescent="0.25">
      <c r="B10" s="95"/>
      <c r="C10" s="3">
        <v>2</v>
      </c>
      <c r="D10" s="40" t="s">
        <v>47</v>
      </c>
      <c r="E10" s="44"/>
      <c r="F10" s="4">
        <f>'Condições Gerais'!L10</f>
        <v>0</v>
      </c>
    </row>
    <row r="11" spans="2:7" ht="12.75" customHeight="1" x14ac:dyDescent="0.25">
      <c r="B11" s="95"/>
      <c r="C11" s="3">
        <v>3</v>
      </c>
      <c r="D11" s="40" t="s">
        <v>48</v>
      </c>
      <c r="E11" s="44"/>
      <c r="F11" s="4">
        <f>'Condições Gerais'!L12</f>
        <v>0</v>
      </c>
    </row>
    <row r="12" spans="2:7" ht="12.75" customHeight="1" x14ac:dyDescent="0.25">
      <c r="B12" s="95"/>
      <c r="C12" s="3">
        <v>4</v>
      </c>
      <c r="D12" s="40" t="s">
        <v>31</v>
      </c>
      <c r="E12" s="146">
        <f>'Condições Gerais'!L20</f>
        <v>0</v>
      </c>
      <c r="F12" s="4">
        <f>'Condições Gerais'!L21</f>
        <v>0</v>
      </c>
      <c r="G12" s="96"/>
    </row>
    <row r="13" spans="2:7" ht="12.75" customHeight="1" x14ac:dyDescent="0.25">
      <c r="B13" s="95"/>
      <c r="C13" s="3">
        <v>5</v>
      </c>
      <c r="D13" s="40" t="s">
        <v>122</v>
      </c>
      <c r="E13" s="146">
        <f>'Condições Gerais'!L24</f>
        <v>0</v>
      </c>
      <c r="F13" s="4">
        <f>'Condições Gerais'!L25</f>
        <v>0</v>
      </c>
    </row>
    <row r="14" spans="2:7" ht="12.75" customHeight="1" x14ac:dyDescent="0.25">
      <c r="B14" s="95"/>
      <c r="C14" s="3">
        <v>6</v>
      </c>
      <c r="D14" s="40" t="s">
        <v>224</v>
      </c>
      <c r="E14" s="146">
        <f>'Condições Gerais'!L28</f>
        <v>0</v>
      </c>
      <c r="F14" s="4">
        <f>'Condições Gerais'!L29</f>
        <v>0</v>
      </c>
    </row>
    <row r="15" spans="2:7" ht="12.75" customHeight="1" x14ac:dyDescent="0.25">
      <c r="B15" s="95"/>
      <c r="C15" s="3">
        <v>7</v>
      </c>
      <c r="D15" s="40" t="s">
        <v>29</v>
      </c>
      <c r="E15" s="146">
        <f>'Condições Gerais'!L30</f>
        <v>0</v>
      </c>
      <c r="F15" s="4">
        <f>'Condições Gerais'!L31</f>
        <v>0</v>
      </c>
    </row>
    <row r="16" spans="2:7" ht="12.75" customHeight="1" x14ac:dyDescent="0.25">
      <c r="B16" s="95"/>
      <c r="C16" s="3">
        <v>8</v>
      </c>
      <c r="D16" s="160" t="s">
        <v>235</v>
      </c>
      <c r="E16" s="146">
        <f>'Condições Gerais'!L26</f>
        <v>0</v>
      </c>
      <c r="F16" s="4">
        <f>'Condições Gerais'!L27</f>
        <v>0</v>
      </c>
    </row>
    <row r="17" spans="2:6" ht="12.75" customHeight="1" x14ac:dyDescent="0.25">
      <c r="B17" s="97"/>
      <c r="C17" s="22">
        <v>9</v>
      </c>
      <c r="D17" s="40" t="s">
        <v>46</v>
      </c>
      <c r="E17" s="44"/>
      <c r="F17" s="4">
        <f>(F12+F13+F14+F15+F16)/24*6</f>
        <v>0</v>
      </c>
    </row>
    <row r="18" spans="2:6" ht="12.75" customHeight="1" x14ac:dyDescent="0.25">
      <c r="B18" s="159" t="s">
        <v>113</v>
      </c>
      <c r="C18" s="46"/>
      <c r="D18" s="46"/>
      <c r="E18" s="47"/>
      <c r="F18" s="32">
        <f>SUM(F9:F17)</f>
        <v>0</v>
      </c>
    </row>
    <row r="20" spans="2:6" ht="12.75" customHeight="1" x14ac:dyDescent="0.25">
      <c r="B20" s="45" t="s">
        <v>62</v>
      </c>
      <c r="C20" s="46"/>
      <c r="D20" s="47"/>
      <c r="E20" s="98" t="s">
        <v>4</v>
      </c>
      <c r="F20" s="93" t="s">
        <v>58</v>
      </c>
    </row>
    <row r="21" spans="2:6" ht="12.75" customHeight="1" x14ac:dyDescent="0.25">
      <c r="B21" s="408" t="s">
        <v>3</v>
      </c>
      <c r="C21" s="5">
        <v>1</v>
      </c>
      <c r="D21" s="36" t="str">
        <f>'Condições Gerais'!A23</f>
        <v>INSS</v>
      </c>
      <c r="E21" s="6">
        <f>'Condições Gerais'!B23</f>
        <v>0.2</v>
      </c>
      <c r="F21" s="7">
        <f>E21*$F$18</f>
        <v>0</v>
      </c>
    </row>
    <row r="22" spans="2:6" ht="12.75" customHeight="1" x14ac:dyDescent="0.25">
      <c r="B22" s="409"/>
      <c r="C22" s="5">
        <v>2</v>
      </c>
      <c r="D22" s="36" t="str">
        <f>'Condições Gerais'!A24</f>
        <v>SESI ou SESC</v>
      </c>
      <c r="E22" s="6">
        <f>'Condições Gerais'!B24</f>
        <v>1.4999999999999999E-2</v>
      </c>
      <c r="F22" s="7">
        <f t="shared" ref="F22:F28" si="0">E22*$F$18</f>
        <v>0</v>
      </c>
    </row>
    <row r="23" spans="2:6" ht="12.75" customHeight="1" x14ac:dyDescent="0.25">
      <c r="B23" s="409"/>
      <c r="C23" s="5">
        <v>3</v>
      </c>
      <c r="D23" s="36" t="str">
        <f>'Condições Gerais'!A25</f>
        <v>SENAI ou SENAC</v>
      </c>
      <c r="E23" s="6">
        <f>'Condições Gerais'!B25</f>
        <v>0.01</v>
      </c>
      <c r="F23" s="7">
        <f t="shared" si="0"/>
        <v>0</v>
      </c>
    </row>
    <row r="24" spans="2:6" ht="12.75" customHeight="1" x14ac:dyDescent="0.25">
      <c r="B24" s="409"/>
      <c r="C24" s="5">
        <v>4</v>
      </c>
      <c r="D24" s="36" t="str">
        <f>'Condições Gerais'!A26</f>
        <v>INCRA</v>
      </c>
      <c r="E24" s="6">
        <f>'Condições Gerais'!B26</f>
        <v>2E-3</v>
      </c>
      <c r="F24" s="7">
        <f t="shared" si="0"/>
        <v>0</v>
      </c>
    </row>
    <row r="25" spans="2:6" ht="12.75" customHeight="1" x14ac:dyDescent="0.25">
      <c r="B25" s="409"/>
      <c r="C25" s="5">
        <v>5</v>
      </c>
      <c r="D25" s="36" t="str">
        <f>'Condições Gerais'!A27</f>
        <v>Salário educação</v>
      </c>
      <c r="E25" s="6">
        <f>'Condições Gerais'!B27</f>
        <v>2.5000000000000001E-2</v>
      </c>
      <c r="F25" s="7">
        <f t="shared" si="0"/>
        <v>0</v>
      </c>
    </row>
    <row r="26" spans="2:6" ht="12.75" customHeight="1" x14ac:dyDescent="0.25">
      <c r="B26" s="409"/>
      <c r="C26" s="5">
        <v>6</v>
      </c>
      <c r="D26" s="36" t="str">
        <f>'Condições Gerais'!A28</f>
        <v>FGTS</v>
      </c>
      <c r="E26" s="6">
        <f>'Condições Gerais'!B28</f>
        <v>0.08</v>
      </c>
      <c r="F26" s="7">
        <f t="shared" si="0"/>
        <v>0</v>
      </c>
    </row>
    <row r="27" spans="2:6" ht="12.75" customHeight="1" x14ac:dyDescent="0.25">
      <c r="B27" s="409"/>
      <c r="C27" s="5">
        <v>7</v>
      </c>
      <c r="D27" s="36" t="str">
        <f>'Condições Gerais'!A29</f>
        <v>Seguro acidente do trabalho</v>
      </c>
      <c r="E27" s="6">
        <f>'Condições Gerais'!B29</f>
        <v>0.02</v>
      </c>
      <c r="F27" s="7">
        <f t="shared" si="0"/>
        <v>0</v>
      </c>
    </row>
    <row r="28" spans="2:6" ht="12.75" customHeight="1" x14ac:dyDescent="0.25">
      <c r="B28" s="409"/>
      <c r="C28" s="5">
        <v>8</v>
      </c>
      <c r="D28" s="36" t="str">
        <f>'Condições Gerais'!A30</f>
        <v>SEBRAE</v>
      </c>
      <c r="E28" s="6">
        <f>'Condições Gerais'!B30</f>
        <v>6.0000000000000001E-3</v>
      </c>
      <c r="F28" s="7">
        <f t="shared" si="0"/>
        <v>0</v>
      </c>
    </row>
    <row r="29" spans="2:6" ht="12.75" customHeight="1" x14ac:dyDescent="0.25">
      <c r="B29" s="410"/>
      <c r="C29" s="8" t="s">
        <v>13</v>
      </c>
      <c r="D29" s="8"/>
      <c r="E29" s="9">
        <f>SUM(E21:E28)</f>
        <v>0.3580000000000001</v>
      </c>
      <c r="F29" s="10">
        <f>SUM(F21:F28)</f>
        <v>0</v>
      </c>
    </row>
    <row r="30" spans="2:6" ht="12.75" customHeight="1" x14ac:dyDescent="0.25">
      <c r="B30" s="404" t="s">
        <v>14</v>
      </c>
      <c r="C30" s="148">
        <v>9</v>
      </c>
      <c r="D30" s="36" t="str">
        <f>'Condições Gerais'!A12</f>
        <v xml:space="preserve">Férias </v>
      </c>
      <c r="E30" s="6">
        <f>'Condições Gerais'!B12</f>
        <v>0.12037037037037036</v>
      </c>
      <c r="F30" s="7">
        <f>E30*$F$18</f>
        <v>0</v>
      </c>
    </row>
    <row r="31" spans="2:6" ht="12.75" customHeight="1" x14ac:dyDescent="0.25">
      <c r="B31" s="404"/>
      <c r="C31" s="148">
        <v>10</v>
      </c>
      <c r="D31" s="36" t="str">
        <f>'Condições Gerais'!A13</f>
        <v>Auxílio doença</v>
      </c>
      <c r="E31" s="6">
        <f>'Condições Gerais'!B13</f>
        <v>1.6555555555555556E-2</v>
      </c>
      <c r="F31" s="7">
        <f t="shared" ref="F31:F41" si="1">E31*$F$18</f>
        <v>0</v>
      </c>
    </row>
    <row r="32" spans="2:6" ht="12.75" customHeight="1" x14ac:dyDescent="0.25">
      <c r="B32" s="404"/>
      <c r="C32" s="148">
        <v>11</v>
      </c>
      <c r="D32" s="36" t="str">
        <f>'Condições Gerais'!A14</f>
        <v>Licença maternidade</v>
      </c>
      <c r="E32" s="6">
        <f>'Condições Gerais'!B14</f>
        <v>5.5239999999999994E-3</v>
      </c>
      <c r="F32" s="7">
        <f t="shared" si="1"/>
        <v>0</v>
      </c>
    </row>
    <row r="33" spans="2:10" ht="12.75" customHeight="1" x14ac:dyDescent="0.25">
      <c r="B33" s="404"/>
      <c r="C33" s="148">
        <v>12</v>
      </c>
      <c r="D33" s="36" t="str">
        <f>'Condições Gerais'!A15</f>
        <v>Licença paternidade</v>
      </c>
      <c r="E33" s="6">
        <f>'Condições Gerais'!B15</f>
        <v>2.0833333333333332E-4</v>
      </c>
      <c r="F33" s="7">
        <f t="shared" si="1"/>
        <v>0</v>
      </c>
    </row>
    <row r="34" spans="2:10" ht="12.75" customHeight="1" x14ac:dyDescent="0.25">
      <c r="B34" s="404"/>
      <c r="C34" s="148">
        <v>13</v>
      </c>
      <c r="D34" s="36" t="str">
        <f>'Condições Gerais'!A16</f>
        <v>Faltas legais</v>
      </c>
      <c r="E34" s="6">
        <f>'Condições Gerais'!B16</f>
        <v>8.2222222222222228E-3</v>
      </c>
      <c r="F34" s="7">
        <f t="shared" si="1"/>
        <v>0</v>
      </c>
    </row>
    <row r="35" spans="2:10" ht="12.75" customHeight="1" x14ac:dyDescent="0.25">
      <c r="B35" s="404"/>
      <c r="C35" s="148">
        <v>14</v>
      </c>
      <c r="D35" s="36" t="str">
        <f>'Condições Gerais'!A17</f>
        <v>Acidente de trabalho</v>
      </c>
      <c r="E35" s="6">
        <f>'Condições Gerais'!B17</f>
        <v>3.2499999999999999E-4</v>
      </c>
      <c r="F35" s="7">
        <f t="shared" si="1"/>
        <v>0</v>
      </c>
    </row>
    <row r="36" spans="2:10" ht="12.75" customHeight="1" x14ac:dyDescent="0.25">
      <c r="B36" s="404"/>
      <c r="C36" s="148">
        <v>15</v>
      </c>
      <c r="D36" s="36" t="str">
        <f>'Condições Gerais'!A18</f>
        <v>Aviso Prévio</v>
      </c>
      <c r="E36" s="6">
        <f>'Condições Gerais'!B18</f>
        <v>1.9444444444444445E-2</v>
      </c>
      <c r="F36" s="7">
        <f t="shared" si="1"/>
        <v>0</v>
      </c>
    </row>
    <row r="37" spans="2:10" ht="12.75" customHeight="1" x14ac:dyDescent="0.25">
      <c r="B37" s="404"/>
      <c r="C37" s="148">
        <v>16</v>
      </c>
      <c r="D37" s="36" t="str">
        <f>'Condições Gerais'!A19</f>
        <v>13º Salário</v>
      </c>
      <c r="E37" s="6">
        <f>'Condições Gerais'!B19</f>
        <v>9.0277777777777776E-2</v>
      </c>
      <c r="F37" s="7">
        <f t="shared" si="1"/>
        <v>0</v>
      </c>
    </row>
    <row r="38" spans="2:10" ht="12.75" customHeight="1" x14ac:dyDescent="0.25">
      <c r="B38" s="404"/>
      <c r="C38" s="11" t="s">
        <v>22</v>
      </c>
      <c r="D38" s="11"/>
      <c r="E38" s="12">
        <f>SUM(E30:E37)</f>
        <v>0.26092770370370372</v>
      </c>
      <c r="F38" s="13">
        <f>SUM(F30:F37)</f>
        <v>0</v>
      </c>
    </row>
    <row r="39" spans="2:10" ht="12.75" customHeight="1" x14ac:dyDescent="0.25">
      <c r="B39" s="405" t="s">
        <v>23</v>
      </c>
      <c r="C39" s="149">
        <v>17</v>
      </c>
      <c r="D39" s="37" t="str">
        <f>'Condições Gerais'!A20</f>
        <v>Indenizações  - rescisões s/ justa causa</v>
      </c>
      <c r="E39" s="14">
        <f>'Condições Gerais'!B20</f>
        <v>4.7775999999999999E-2</v>
      </c>
      <c r="F39" s="7">
        <f t="shared" si="1"/>
        <v>0</v>
      </c>
    </row>
    <row r="40" spans="2:10" ht="12.75" customHeight="1" x14ac:dyDescent="0.25">
      <c r="B40" s="405"/>
      <c r="C40" s="15" t="s">
        <v>24</v>
      </c>
      <c r="D40" s="15"/>
      <c r="E40" s="16">
        <f>SUM(E39)</f>
        <v>4.7775999999999999E-2</v>
      </c>
      <c r="F40" s="17">
        <f>SUM(F39)</f>
        <v>0</v>
      </c>
    </row>
    <row r="41" spans="2:10" s="1" customFormat="1" ht="25.5" customHeight="1" x14ac:dyDescent="0.25">
      <c r="B41" s="406" t="s">
        <v>33</v>
      </c>
      <c r="C41" s="33">
        <v>18</v>
      </c>
      <c r="D41" s="18" t="s">
        <v>37</v>
      </c>
      <c r="E41" s="34">
        <f>E29*E38</f>
        <v>9.341211792592595E-2</v>
      </c>
      <c r="F41" s="35">
        <f t="shared" si="1"/>
        <v>0</v>
      </c>
      <c r="G41" s="58"/>
      <c r="H41" s="58"/>
      <c r="I41" s="58"/>
      <c r="J41" s="58"/>
    </row>
    <row r="42" spans="2:10" ht="12.75" customHeight="1" x14ac:dyDescent="0.25">
      <c r="B42" s="406"/>
      <c r="C42" s="19" t="s">
        <v>25</v>
      </c>
      <c r="D42" s="19"/>
      <c r="E42" s="20">
        <f>SUM(E41)</f>
        <v>9.341211792592595E-2</v>
      </c>
      <c r="F42" s="21">
        <f>SUM(F41)</f>
        <v>0</v>
      </c>
    </row>
    <row r="43" spans="2:10" ht="12.75" customHeight="1" x14ac:dyDescent="0.25">
      <c r="B43" s="48" t="s">
        <v>114</v>
      </c>
      <c r="C43" s="49"/>
      <c r="D43" s="50"/>
      <c r="E43" s="20">
        <f>E29+E38+E40+E42</f>
        <v>0.76011582162962976</v>
      </c>
      <c r="F43" s="21">
        <f>F29+F38+F40+F42</f>
        <v>0</v>
      </c>
    </row>
    <row r="45" spans="2:10" ht="25.5" customHeight="1" x14ac:dyDescent="0.25">
      <c r="B45" s="99" t="s">
        <v>142</v>
      </c>
      <c r="C45" s="100"/>
      <c r="D45" s="100"/>
      <c r="E45" s="101" t="s">
        <v>118</v>
      </c>
      <c r="F45" s="93" t="s">
        <v>58</v>
      </c>
    </row>
    <row r="46" spans="2:10" ht="12.75" customHeight="1" x14ac:dyDescent="0.25">
      <c r="B46" s="94"/>
      <c r="C46" s="22">
        <v>1</v>
      </c>
      <c r="D46" s="51" t="s">
        <v>140</v>
      </c>
      <c r="E46" s="61">
        <f>(F9*0.06)</f>
        <v>0</v>
      </c>
      <c r="F46" s="23">
        <f>IF(('Condições Gerais'!L33-E46)&lt;0,0,'Condições Gerais'!L33-E46)</f>
        <v>0</v>
      </c>
      <c r="G46" s="150"/>
    </row>
    <row r="47" spans="2:10" ht="12.75" customHeight="1" x14ac:dyDescent="0.25">
      <c r="B47" s="95"/>
      <c r="C47" s="22">
        <v>2</v>
      </c>
      <c r="D47" s="62" t="s">
        <v>124</v>
      </c>
      <c r="E47" s="61">
        <f>'Condições Gerais'!L37*'Condições Gerais'!L36</f>
        <v>0</v>
      </c>
      <c r="F47" s="23">
        <f>'Condições Gerais'!L37-E47</f>
        <v>0</v>
      </c>
    </row>
    <row r="48" spans="2:10" ht="12.75" customHeight="1" x14ac:dyDescent="0.25">
      <c r="B48" s="95"/>
      <c r="C48" s="22">
        <v>3</v>
      </c>
      <c r="D48" s="63" t="s">
        <v>133</v>
      </c>
      <c r="E48" s="139" t="s">
        <v>41</v>
      </c>
      <c r="F48" s="23">
        <f>'Condições Gerais'!L41</f>
        <v>0</v>
      </c>
    </row>
    <row r="49" spans="2:6" ht="12.75" customHeight="1" x14ac:dyDescent="0.25">
      <c r="B49" s="95"/>
      <c r="C49" s="22">
        <v>4</v>
      </c>
      <c r="D49" s="62" t="str">
        <f>'Condições Gerais'!D22</f>
        <v>INTRAJORNADA (indenizatória)</v>
      </c>
      <c r="E49" s="139" t="s">
        <v>41</v>
      </c>
      <c r="F49" s="23">
        <f>'Condições Gerais'!L23</f>
        <v>0</v>
      </c>
    </row>
    <row r="50" spans="2:6" ht="12.75" customHeight="1" x14ac:dyDescent="0.25">
      <c r="B50" s="95"/>
      <c r="C50" s="22">
        <v>5</v>
      </c>
      <c r="D50" s="62" t="str">
        <f>'Condições Gerais'!D42</f>
        <v>PAF (CCT2024, Cláus. 14ª, §4º)</v>
      </c>
      <c r="E50" s="139" t="s">
        <v>41</v>
      </c>
      <c r="F50" s="23">
        <f>'Condições Gerais'!L43</f>
        <v>0</v>
      </c>
    </row>
    <row r="51" spans="2:6" ht="12.75" customHeight="1" x14ac:dyDescent="0.25">
      <c r="B51" s="95"/>
      <c r="C51" s="22">
        <v>6</v>
      </c>
      <c r="D51" s="62" t="str">
        <f>'Condições Gerais'!D44</f>
        <v>Contr. Ass. Patronal (CCT2024, Cláus. 55ª, caput)</v>
      </c>
      <c r="E51" s="139" t="s">
        <v>41</v>
      </c>
      <c r="F51" s="23">
        <f>'Condições Gerais'!L45</f>
        <v>0</v>
      </c>
    </row>
    <row r="52" spans="2:6" ht="12.75" customHeight="1" x14ac:dyDescent="0.25">
      <c r="B52" s="95"/>
      <c r="C52" s="22">
        <v>7</v>
      </c>
      <c r="D52" s="62" t="str">
        <f>'Condições Gerais'!D46</f>
        <v>Outros custos ou benefícios da CCT</v>
      </c>
      <c r="E52" s="139" t="s">
        <v>41</v>
      </c>
      <c r="F52" s="23">
        <f>'Condições Gerais'!L47</f>
        <v>0</v>
      </c>
    </row>
    <row r="53" spans="2:6" ht="12.75" customHeight="1" x14ac:dyDescent="0.25">
      <c r="B53" s="96"/>
      <c r="C53" s="22">
        <v>8</v>
      </c>
      <c r="D53" s="62" t="str">
        <f>'Condições Gerais'!D48</f>
        <v>Outros custos ou benefícios da CCT</v>
      </c>
      <c r="E53" s="139" t="s">
        <v>41</v>
      </c>
      <c r="F53" s="23">
        <f>'Condições Gerais'!L49</f>
        <v>0</v>
      </c>
    </row>
    <row r="54" spans="2:6" ht="12.75" customHeight="1" x14ac:dyDescent="0.25">
      <c r="B54" s="96"/>
      <c r="C54" s="22">
        <v>9</v>
      </c>
      <c r="D54" s="62" t="str">
        <f>'Condições Gerais'!D50</f>
        <v>Outros custos ou benefícios da CCT</v>
      </c>
      <c r="E54" s="139" t="s">
        <v>41</v>
      </c>
      <c r="F54" s="23">
        <f>'Condições Gerais'!L51</f>
        <v>0</v>
      </c>
    </row>
    <row r="55" spans="2:6" ht="12.75" customHeight="1" x14ac:dyDescent="0.25">
      <c r="B55" s="96"/>
      <c r="C55" s="22">
        <v>10</v>
      </c>
      <c r="D55" s="62" t="str">
        <f>'Condições Gerais'!D52</f>
        <v>Outros custos ou benefícios da CCT</v>
      </c>
      <c r="E55" s="139" t="s">
        <v>41</v>
      </c>
      <c r="F55" s="23">
        <f>'Condições Gerais'!L53</f>
        <v>0</v>
      </c>
    </row>
    <row r="56" spans="2:6" ht="12.75" customHeight="1" x14ac:dyDescent="0.25">
      <c r="B56" s="96"/>
      <c r="C56" s="22">
        <v>11</v>
      </c>
      <c r="D56" s="62" t="str">
        <f>'Condições Gerais'!D54</f>
        <v>Outros custos ou benefícios da CCT</v>
      </c>
      <c r="E56" s="139" t="s">
        <v>41</v>
      </c>
      <c r="F56" s="23">
        <f>'Condições Gerais'!L55</f>
        <v>0</v>
      </c>
    </row>
    <row r="57" spans="2:6" ht="12.75" customHeight="1" x14ac:dyDescent="0.25">
      <c r="B57" s="48" t="s">
        <v>143</v>
      </c>
      <c r="C57" s="49"/>
      <c r="D57" s="49"/>
      <c r="E57" s="50"/>
      <c r="F57" s="30">
        <f>SUM(F46:F56)</f>
        <v>0</v>
      </c>
    </row>
    <row r="59" spans="2:6" ht="12.75" customHeight="1" x14ac:dyDescent="0.25">
      <c r="B59" s="45" t="s">
        <v>145</v>
      </c>
      <c r="C59" s="46"/>
      <c r="D59" s="46"/>
      <c r="E59" s="102"/>
      <c r="F59" s="93" t="s">
        <v>58</v>
      </c>
    </row>
    <row r="60" spans="2:6" ht="12.75" customHeight="1" x14ac:dyDescent="0.25">
      <c r="B60" s="40" t="s">
        <v>113</v>
      </c>
      <c r="C60" s="41"/>
      <c r="D60" s="41"/>
      <c r="E60" s="102"/>
      <c r="F60" s="38">
        <f>F18</f>
        <v>0</v>
      </c>
    </row>
    <row r="61" spans="2:6" ht="12.75" customHeight="1" x14ac:dyDescent="0.25">
      <c r="B61" s="42" t="s">
        <v>114</v>
      </c>
      <c r="C61" s="43"/>
      <c r="D61" s="43"/>
      <c r="E61" s="102"/>
      <c r="F61" s="39">
        <f>F43</f>
        <v>0</v>
      </c>
    </row>
    <row r="62" spans="2:6" ht="12.75" customHeight="1" x14ac:dyDescent="0.25">
      <c r="B62" s="42" t="s">
        <v>143</v>
      </c>
      <c r="C62" s="43"/>
      <c r="D62" s="43"/>
      <c r="E62" s="102"/>
      <c r="F62" s="39">
        <f>F57</f>
        <v>0</v>
      </c>
    </row>
    <row r="63" spans="2:6" ht="12.75" customHeight="1" x14ac:dyDescent="0.25">
      <c r="B63" s="65" t="s">
        <v>64</v>
      </c>
      <c r="C63" s="88"/>
      <c r="D63" s="88"/>
      <c r="E63" s="64"/>
      <c r="F63" s="60">
        <f>SUM(F60:F62)</f>
        <v>0</v>
      </c>
    </row>
    <row r="65" spans="2:6" ht="12.75" customHeight="1" x14ac:dyDescent="0.25">
      <c r="B65" s="65" t="s">
        <v>273</v>
      </c>
      <c r="C65" s="66"/>
      <c r="D65" s="66"/>
      <c r="E65" s="103" t="s">
        <v>4</v>
      </c>
      <c r="F65" s="93" t="s">
        <v>58</v>
      </c>
    </row>
    <row r="66" spans="2:6" ht="12.75" customHeight="1" x14ac:dyDescent="0.25">
      <c r="B66" s="65" t="s">
        <v>274</v>
      </c>
      <c r="C66" s="88"/>
      <c r="D66" s="88"/>
      <c r="E66" s="164">
        <f>'Condições Gerais'!B38</f>
        <v>0</v>
      </c>
      <c r="F66" s="165">
        <f>E66*F63</f>
        <v>0</v>
      </c>
    </row>
    <row r="68" spans="2:6" ht="12.75" customHeight="1" x14ac:dyDescent="0.25">
      <c r="B68" s="65" t="s">
        <v>261</v>
      </c>
      <c r="C68" s="66"/>
      <c r="D68" s="66"/>
      <c r="E68" s="166"/>
      <c r="F68" s="93" t="s">
        <v>58</v>
      </c>
    </row>
    <row r="69" spans="2:6" ht="12.75" customHeight="1" x14ac:dyDescent="0.25">
      <c r="B69" s="65" t="s">
        <v>262</v>
      </c>
      <c r="C69" s="88"/>
      <c r="D69" s="88"/>
      <c r="E69" s="167"/>
      <c r="F69" s="165">
        <f>F63+F66</f>
        <v>0</v>
      </c>
    </row>
    <row r="71" spans="2:6" ht="12.75" customHeight="1" x14ac:dyDescent="0.25">
      <c r="B71" s="45" t="s">
        <v>263</v>
      </c>
      <c r="C71" s="46"/>
      <c r="D71" s="47"/>
      <c r="E71" s="103" t="s">
        <v>4</v>
      </c>
      <c r="F71" s="93" t="s">
        <v>38</v>
      </c>
    </row>
    <row r="72" spans="2:6" ht="12.75" customHeight="1" x14ac:dyDescent="0.25">
      <c r="B72" s="28"/>
      <c r="C72" s="3">
        <v>1</v>
      </c>
      <c r="D72" s="24" t="str">
        <f>'Condições Gerais'!A33</f>
        <v>PIS</v>
      </c>
      <c r="E72" s="25">
        <f>'Condições Gerais'!B33</f>
        <v>1.6500000000000001E-2</v>
      </c>
      <c r="F72" s="26">
        <f>E72*F$79</f>
        <v>0</v>
      </c>
    </row>
    <row r="73" spans="2:6" ht="12.75" customHeight="1" x14ac:dyDescent="0.25">
      <c r="B73" s="29"/>
      <c r="C73" s="3">
        <v>2</v>
      </c>
      <c r="D73" s="24" t="str">
        <f>'Condições Gerais'!A34</f>
        <v>COFINS</v>
      </c>
      <c r="E73" s="25">
        <f>'Condições Gerais'!B34</f>
        <v>7.5999999999999998E-2</v>
      </c>
      <c r="F73" s="26">
        <f>E73*F$79</f>
        <v>0</v>
      </c>
    </row>
    <row r="74" spans="2:6" ht="12.75" customHeight="1" x14ac:dyDescent="0.25">
      <c r="B74" s="29"/>
      <c r="C74" s="3">
        <v>3</v>
      </c>
      <c r="D74" s="24" t="str">
        <f>'Condições Gerais'!A35</f>
        <v>ISS</v>
      </c>
      <c r="E74" s="25">
        <f>'Condições Gerais'!B35</f>
        <v>0.05</v>
      </c>
      <c r="F74" s="26">
        <f>E74*F$79</f>
        <v>0</v>
      </c>
    </row>
    <row r="75" spans="2:6" ht="12.75" customHeight="1" x14ac:dyDescent="0.25">
      <c r="B75" s="48" t="s">
        <v>34</v>
      </c>
      <c r="C75" s="49"/>
      <c r="D75" s="50"/>
      <c r="E75" s="27">
        <f>SUM(E72:E74)</f>
        <v>0.14250000000000002</v>
      </c>
      <c r="F75" s="31">
        <f>E75*F$79</f>
        <v>0</v>
      </c>
    </row>
    <row r="77" spans="2:6" ht="12.75" customHeight="1" x14ac:dyDescent="0.25">
      <c r="B77" s="45" t="s">
        <v>264</v>
      </c>
      <c r="C77" s="46"/>
      <c r="D77" s="47"/>
      <c r="E77" s="103" t="s">
        <v>4</v>
      </c>
      <c r="F77" s="93" t="s">
        <v>38</v>
      </c>
    </row>
    <row r="78" spans="2:6" s="104" customFormat="1" ht="12.75" customHeight="1" x14ac:dyDescent="0.25">
      <c r="B78" s="69" t="s">
        <v>265</v>
      </c>
      <c r="C78" s="70"/>
      <c r="D78" s="71"/>
      <c r="E78" s="72">
        <f>1-E75</f>
        <v>0.85749999999999993</v>
      </c>
      <c r="F78" s="140" t="s">
        <v>41</v>
      </c>
    </row>
    <row r="79" spans="2:6" s="104" customFormat="1" ht="12.75" customHeight="1" x14ac:dyDescent="0.25">
      <c r="B79" s="69" t="s">
        <v>125</v>
      </c>
      <c r="C79" s="70"/>
      <c r="D79" s="71"/>
      <c r="E79" s="72">
        <v>1</v>
      </c>
      <c r="F79" s="73">
        <f>F69/E78</f>
        <v>0</v>
      </c>
    </row>
    <row r="80" spans="2:6" s="104" customFormat="1" ht="12.75" customHeight="1" x14ac:dyDescent="0.25">
      <c r="B80" s="74" t="s">
        <v>266</v>
      </c>
      <c r="C80" s="75"/>
      <c r="D80" s="76"/>
      <c r="E80" s="77"/>
      <c r="F80" s="78"/>
    </row>
    <row r="82" spans="2:6" s="104" customFormat="1" ht="25.5" customHeight="1" x14ac:dyDescent="0.25">
      <c r="B82" s="69" t="s">
        <v>268</v>
      </c>
      <c r="C82" s="70"/>
      <c r="D82" s="71"/>
      <c r="E82" s="2" t="s">
        <v>60</v>
      </c>
      <c r="F82" s="68" t="s">
        <v>36</v>
      </c>
    </row>
    <row r="83" spans="2:6" ht="12.75" customHeight="1" x14ac:dyDescent="0.25">
      <c r="B83" s="74"/>
      <c r="C83" s="75"/>
      <c r="D83" s="76"/>
      <c r="E83" s="143">
        <f>'Condições Gerais'!L14</f>
        <v>0</v>
      </c>
      <c r="F83" s="68">
        <f>F79*E83</f>
        <v>0</v>
      </c>
    </row>
    <row r="85" spans="2:6" s="104" customFormat="1" ht="25.5" customHeight="1" x14ac:dyDescent="0.25">
      <c r="B85" s="69" t="s">
        <v>267</v>
      </c>
      <c r="C85" s="70"/>
      <c r="D85" s="71"/>
      <c r="E85" s="2" t="s">
        <v>35</v>
      </c>
      <c r="F85" s="68" t="s">
        <v>59</v>
      </c>
    </row>
    <row r="86" spans="2:6" ht="12.75" customHeight="1" x14ac:dyDescent="0.25">
      <c r="B86" s="74"/>
      <c r="C86" s="75"/>
      <c r="D86" s="76"/>
      <c r="E86" s="105">
        <f>'Condições Gerais'!B8</f>
        <v>12</v>
      </c>
      <c r="F86" s="68">
        <f>F83*E86</f>
        <v>0</v>
      </c>
    </row>
  </sheetData>
  <mergeCells count="6">
    <mergeCell ref="B41:B42"/>
    <mergeCell ref="B1:F1"/>
    <mergeCell ref="B3:F3"/>
    <mergeCell ref="B21:B29"/>
    <mergeCell ref="B30:B38"/>
    <mergeCell ref="B39:B40"/>
  </mergeCells>
  <printOptions horizontalCentered="1"/>
  <pageMargins left="0.98425196850393704" right="0.39370078740157483" top="0.39370078740157483" bottom="0.39370078740157483" header="0.31496062992125984" footer="0.31496062992125984"/>
  <pageSetup paperSize="9" scale="6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J86"/>
  <sheetViews>
    <sheetView showGridLines="0" topLeftCell="A67" workbookViewId="0">
      <selection activeCell="F33" sqref="F33"/>
    </sheetView>
  </sheetViews>
  <sheetFormatPr defaultColWidth="9.140625" defaultRowHeight="12.75" customHeight="1" x14ac:dyDescent="0.25"/>
  <cols>
    <col min="1" max="1" width="2.140625" style="58" customWidth="1"/>
    <col min="2" max="2" width="10.42578125" style="58" customWidth="1"/>
    <col min="3" max="3" width="5.140625" style="58" customWidth="1"/>
    <col min="4" max="4" width="39.7109375" style="58" customWidth="1"/>
    <col min="5" max="5" width="14.7109375" style="58" customWidth="1"/>
    <col min="6" max="6" width="16.140625" style="59" customWidth="1"/>
    <col min="7" max="7" width="14.7109375" style="58" customWidth="1"/>
    <col min="8" max="8" width="9.140625" style="58"/>
    <col min="9" max="9" width="10.28515625" style="58" bestFit="1" customWidth="1"/>
    <col min="10" max="16384" width="9.140625" style="58"/>
  </cols>
  <sheetData>
    <row r="1" spans="2:7" ht="12.75" customHeight="1" x14ac:dyDescent="0.25">
      <c r="B1" s="412" t="str">
        <f>'Condições Gerais'!A1</f>
        <v>SECRETARIA MUNICIPAL DE CULTURA</v>
      </c>
      <c r="C1" s="412"/>
      <c r="D1" s="412"/>
      <c r="E1" s="412"/>
      <c r="F1" s="412"/>
    </row>
    <row r="3" spans="2:7" ht="12.75" customHeight="1" x14ac:dyDescent="0.25">
      <c r="B3" s="412" t="s">
        <v>0</v>
      </c>
      <c r="C3" s="412"/>
      <c r="D3" s="412"/>
      <c r="E3" s="412"/>
      <c r="F3" s="412"/>
    </row>
    <row r="5" spans="2:7" ht="12.75" customHeight="1" x14ac:dyDescent="0.25">
      <c r="B5" s="65" t="s">
        <v>138</v>
      </c>
      <c r="C5" s="66"/>
      <c r="D5" s="67"/>
      <c r="E5" s="68" t="s">
        <v>42</v>
      </c>
      <c r="F5" s="68" t="s">
        <v>61</v>
      </c>
    </row>
    <row r="6" spans="2:7" ht="12.75" customHeight="1" x14ac:dyDescent="0.25">
      <c r="B6" s="144" t="str">
        <f>'Condições Gerais'!M6</f>
        <v xml:space="preserve">07- </v>
      </c>
      <c r="C6" s="91"/>
      <c r="D6" s="92"/>
      <c r="E6" s="141">
        <f>'Condições Gerais'!M17</f>
        <v>220</v>
      </c>
      <c r="F6" s="142">
        <f>'Condições Gerais'!M18</f>
        <v>0</v>
      </c>
    </row>
    <row r="8" spans="2:7" ht="12.75" customHeight="1" x14ac:dyDescent="0.25">
      <c r="B8" s="158" t="s">
        <v>63</v>
      </c>
      <c r="C8" s="46"/>
      <c r="D8" s="46"/>
      <c r="E8" s="147" t="s">
        <v>164</v>
      </c>
      <c r="F8" s="93" t="s">
        <v>58</v>
      </c>
    </row>
    <row r="9" spans="2:7" ht="12.75" customHeight="1" x14ac:dyDescent="0.25">
      <c r="B9" s="94"/>
      <c r="C9" s="3">
        <v>1</v>
      </c>
      <c r="D9" s="40" t="s">
        <v>28</v>
      </c>
      <c r="E9" s="44"/>
      <c r="F9" s="4">
        <f>'Condições Gerais'!M9</f>
        <v>0</v>
      </c>
    </row>
    <row r="10" spans="2:7" ht="12.75" customHeight="1" x14ac:dyDescent="0.25">
      <c r="B10" s="95"/>
      <c r="C10" s="3">
        <v>2</v>
      </c>
      <c r="D10" s="40" t="s">
        <v>47</v>
      </c>
      <c r="E10" s="44"/>
      <c r="F10" s="4">
        <f>'Condições Gerais'!M10</f>
        <v>0</v>
      </c>
    </row>
    <row r="11" spans="2:7" ht="12.75" customHeight="1" x14ac:dyDescent="0.25">
      <c r="B11" s="95"/>
      <c r="C11" s="3">
        <v>3</v>
      </c>
      <c r="D11" s="40" t="s">
        <v>48</v>
      </c>
      <c r="E11" s="44"/>
      <c r="F11" s="4">
        <f>'Condições Gerais'!M12</f>
        <v>0</v>
      </c>
    </row>
    <row r="12" spans="2:7" ht="12.75" customHeight="1" x14ac:dyDescent="0.25">
      <c r="B12" s="95"/>
      <c r="C12" s="3">
        <v>4</v>
      </c>
      <c r="D12" s="40" t="s">
        <v>31</v>
      </c>
      <c r="E12" s="146">
        <f>'Condições Gerais'!M20</f>
        <v>0</v>
      </c>
      <c r="F12" s="4">
        <f>'Condições Gerais'!M21</f>
        <v>0</v>
      </c>
      <c r="G12" s="96"/>
    </row>
    <row r="13" spans="2:7" ht="12.75" customHeight="1" x14ac:dyDescent="0.25">
      <c r="B13" s="95"/>
      <c r="C13" s="3">
        <v>5</v>
      </c>
      <c r="D13" s="40" t="s">
        <v>122</v>
      </c>
      <c r="E13" s="146">
        <f>'Condições Gerais'!M24</f>
        <v>0</v>
      </c>
      <c r="F13" s="4">
        <f>'Condições Gerais'!M25</f>
        <v>0</v>
      </c>
    </row>
    <row r="14" spans="2:7" ht="12.75" customHeight="1" x14ac:dyDescent="0.25">
      <c r="B14" s="95"/>
      <c r="C14" s="3">
        <v>6</v>
      </c>
      <c r="D14" s="40" t="s">
        <v>224</v>
      </c>
      <c r="E14" s="146">
        <f>'Condições Gerais'!M28</f>
        <v>0</v>
      </c>
      <c r="F14" s="4">
        <f>'Condições Gerais'!M29</f>
        <v>0</v>
      </c>
    </row>
    <row r="15" spans="2:7" ht="12.75" customHeight="1" x14ac:dyDescent="0.25">
      <c r="B15" s="95"/>
      <c r="C15" s="3">
        <v>7</v>
      </c>
      <c r="D15" s="40" t="s">
        <v>29</v>
      </c>
      <c r="E15" s="146">
        <f>'Condições Gerais'!M30</f>
        <v>0</v>
      </c>
      <c r="F15" s="4">
        <f>'Condições Gerais'!M31</f>
        <v>0</v>
      </c>
    </row>
    <row r="16" spans="2:7" ht="12.75" customHeight="1" x14ac:dyDescent="0.25">
      <c r="B16" s="95"/>
      <c r="C16" s="3">
        <v>8</v>
      </c>
      <c r="D16" s="160" t="s">
        <v>235</v>
      </c>
      <c r="E16" s="146">
        <f>'Condições Gerais'!M26</f>
        <v>0</v>
      </c>
      <c r="F16" s="4">
        <f>'Condições Gerais'!M27</f>
        <v>0</v>
      </c>
    </row>
    <row r="17" spans="2:6" ht="12.75" customHeight="1" x14ac:dyDescent="0.25">
      <c r="B17" s="97"/>
      <c r="C17" s="22">
        <v>9</v>
      </c>
      <c r="D17" s="40" t="s">
        <v>46</v>
      </c>
      <c r="E17" s="44"/>
      <c r="F17" s="4">
        <f>(F12+F13+F14+F15+F16)/24*6</f>
        <v>0</v>
      </c>
    </row>
    <row r="18" spans="2:6" ht="12.75" customHeight="1" x14ac:dyDescent="0.25">
      <c r="B18" s="159" t="s">
        <v>113</v>
      </c>
      <c r="C18" s="46"/>
      <c r="D18" s="46"/>
      <c r="E18" s="47"/>
      <c r="F18" s="32">
        <f>SUM(F9:F17)</f>
        <v>0</v>
      </c>
    </row>
    <row r="20" spans="2:6" ht="12.75" customHeight="1" x14ac:dyDescent="0.25">
      <c r="B20" s="45" t="s">
        <v>62</v>
      </c>
      <c r="C20" s="46"/>
      <c r="D20" s="47"/>
      <c r="E20" s="98" t="s">
        <v>4</v>
      </c>
      <c r="F20" s="93" t="s">
        <v>58</v>
      </c>
    </row>
    <row r="21" spans="2:6" ht="12.75" customHeight="1" x14ac:dyDescent="0.25">
      <c r="B21" s="408" t="s">
        <v>3</v>
      </c>
      <c r="C21" s="5">
        <v>1</v>
      </c>
      <c r="D21" s="36" t="str">
        <f>'Condições Gerais'!A23</f>
        <v>INSS</v>
      </c>
      <c r="E21" s="6">
        <f>'Condições Gerais'!B23</f>
        <v>0.2</v>
      </c>
      <c r="F21" s="7">
        <f>E21*$F$18</f>
        <v>0</v>
      </c>
    </row>
    <row r="22" spans="2:6" ht="12.75" customHeight="1" x14ac:dyDescent="0.25">
      <c r="B22" s="409"/>
      <c r="C22" s="5">
        <v>2</v>
      </c>
      <c r="D22" s="36" t="str">
        <f>'Condições Gerais'!A24</f>
        <v>SESI ou SESC</v>
      </c>
      <c r="E22" s="6">
        <f>'Condições Gerais'!B24</f>
        <v>1.4999999999999999E-2</v>
      </c>
      <c r="F22" s="7">
        <f t="shared" ref="F22:F28" si="0">E22*$F$18</f>
        <v>0</v>
      </c>
    </row>
    <row r="23" spans="2:6" ht="12.75" customHeight="1" x14ac:dyDescent="0.25">
      <c r="B23" s="409"/>
      <c r="C23" s="5">
        <v>3</v>
      </c>
      <c r="D23" s="36" t="str">
        <f>'Condições Gerais'!A25</f>
        <v>SENAI ou SENAC</v>
      </c>
      <c r="E23" s="6">
        <f>'Condições Gerais'!B25</f>
        <v>0.01</v>
      </c>
      <c r="F23" s="7">
        <f t="shared" si="0"/>
        <v>0</v>
      </c>
    </row>
    <row r="24" spans="2:6" ht="12.75" customHeight="1" x14ac:dyDescent="0.25">
      <c r="B24" s="409"/>
      <c r="C24" s="5">
        <v>4</v>
      </c>
      <c r="D24" s="36" t="str">
        <f>'Condições Gerais'!A26</f>
        <v>INCRA</v>
      </c>
      <c r="E24" s="6">
        <f>'Condições Gerais'!B26</f>
        <v>2E-3</v>
      </c>
      <c r="F24" s="7">
        <f t="shared" si="0"/>
        <v>0</v>
      </c>
    </row>
    <row r="25" spans="2:6" ht="12.75" customHeight="1" x14ac:dyDescent="0.25">
      <c r="B25" s="409"/>
      <c r="C25" s="5">
        <v>5</v>
      </c>
      <c r="D25" s="36" t="str">
        <f>'Condições Gerais'!A27</f>
        <v>Salário educação</v>
      </c>
      <c r="E25" s="6">
        <f>'Condições Gerais'!B27</f>
        <v>2.5000000000000001E-2</v>
      </c>
      <c r="F25" s="7">
        <f t="shared" si="0"/>
        <v>0</v>
      </c>
    </row>
    <row r="26" spans="2:6" ht="12.75" customHeight="1" x14ac:dyDescent="0.25">
      <c r="B26" s="409"/>
      <c r="C26" s="5">
        <v>6</v>
      </c>
      <c r="D26" s="36" t="str">
        <f>'Condições Gerais'!A28</f>
        <v>FGTS</v>
      </c>
      <c r="E26" s="6">
        <f>'Condições Gerais'!B28</f>
        <v>0.08</v>
      </c>
      <c r="F26" s="7">
        <f t="shared" si="0"/>
        <v>0</v>
      </c>
    </row>
    <row r="27" spans="2:6" ht="12.75" customHeight="1" x14ac:dyDescent="0.25">
      <c r="B27" s="409"/>
      <c r="C27" s="5">
        <v>7</v>
      </c>
      <c r="D27" s="36" t="str">
        <f>'Condições Gerais'!A29</f>
        <v>Seguro acidente do trabalho</v>
      </c>
      <c r="E27" s="6">
        <f>'Condições Gerais'!B29</f>
        <v>0.02</v>
      </c>
      <c r="F27" s="7">
        <f t="shared" si="0"/>
        <v>0</v>
      </c>
    </row>
    <row r="28" spans="2:6" ht="12.75" customHeight="1" x14ac:dyDescent="0.25">
      <c r="B28" s="409"/>
      <c r="C28" s="5">
        <v>8</v>
      </c>
      <c r="D28" s="36" t="str">
        <f>'Condições Gerais'!A30</f>
        <v>SEBRAE</v>
      </c>
      <c r="E28" s="6">
        <f>'Condições Gerais'!B30</f>
        <v>6.0000000000000001E-3</v>
      </c>
      <c r="F28" s="7">
        <f t="shared" si="0"/>
        <v>0</v>
      </c>
    </row>
    <row r="29" spans="2:6" ht="12.75" customHeight="1" x14ac:dyDescent="0.25">
      <c r="B29" s="410"/>
      <c r="C29" s="8" t="s">
        <v>13</v>
      </c>
      <c r="D29" s="8"/>
      <c r="E29" s="9">
        <f>SUM(E21:E28)</f>
        <v>0.3580000000000001</v>
      </c>
      <c r="F29" s="10">
        <f>SUM(F21:F28)</f>
        <v>0</v>
      </c>
    </row>
    <row r="30" spans="2:6" ht="12.75" customHeight="1" x14ac:dyDescent="0.25">
      <c r="B30" s="404" t="s">
        <v>14</v>
      </c>
      <c r="C30" s="148">
        <v>9</v>
      </c>
      <c r="D30" s="36" t="str">
        <f>'Condições Gerais'!A12</f>
        <v xml:space="preserve">Férias </v>
      </c>
      <c r="E30" s="6">
        <f>'Condições Gerais'!B12</f>
        <v>0.12037037037037036</v>
      </c>
      <c r="F30" s="7">
        <f>E30*$F$18</f>
        <v>0</v>
      </c>
    </row>
    <row r="31" spans="2:6" ht="12.75" customHeight="1" x14ac:dyDescent="0.25">
      <c r="B31" s="404"/>
      <c r="C31" s="148">
        <v>10</v>
      </c>
      <c r="D31" s="36" t="str">
        <f>'Condições Gerais'!A13</f>
        <v>Auxílio doença</v>
      </c>
      <c r="E31" s="6">
        <f>'Condições Gerais'!B13</f>
        <v>1.6555555555555556E-2</v>
      </c>
      <c r="F31" s="7">
        <f t="shared" ref="F31:F41" si="1">E31*$F$18</f>
        <v>0</v>
      </c>
    </row>
    <row r="32" spans="2:6" ht="12.75" customHeight="1" x14ac:dyDescent="0.25">
      <c r="B32" s="404"/>
      <c r="C32" s="148">
        <v>11</v>
      </c>
      <c r="D32" s="36" t="str">
        <f>'Condições Gerais'!A14</f>
        <v>Licença maternidade</v>
      </c>
      <c r="E32" s="6">
        <f>'Condições Gerais'!B14</f>
        <v>5.5239999999999994E-3</v>
      </c>
      <c r="F32" s="7">
        <f t="shared" si="1"/>
        <v>0</v>
      </c>
    </row>
    <row r="33" spans="2:10" ht="12.75" customHeight="1" x14ac:dyDescent="0.25">
      <c r="B33" s="404"/>
      <c r="C33" s="148">
        <v>12</v>
      </c>
      <c r="D33" s="36" t="str">
        <f>'Condições Gerais'!A15</f>
        <v>Licença paternidade</v>
      </c>
      <c r="E33" s="6">
        <f>'Condições Gerais'!B15</f>
        <v>2.0833333333333332E-4</v>
      </c>
      <c r="F33" s="7">
        <f t="shared" si="1"/>
        <v>0</v>
      </c>
    </row>
    <row r="34" spans="2:10" ht="12.75" customHeight="1" x14ac:dyDescent="0.25">
      <c r="B34" s="404"/>
      <c r="C34" s="148">
        <v>13</v>
      </c>
      <c r="D34" s="36" t="str">
        <f>'Condições Gerais'!A16</f>
        <v>Faltas legais</v>
      </c>
      <c r="E34" s="6">
        <f>'Condições Gerais'!B16</f>
        <v>8.2222222222222228E-3</v>
      </c>
      <c r="F34" s="7">
        <f t="shared" si="1"/>
        <v>0</v>
      </c>
    </row>
    <row r="35" spans="2:10" ht="12.75" customHeight="1" x14ac:dyDescent="0.25">
      <c r="B35" s="404"/>
      <c r="C35" s="148">
        <v>14</v>
      </c>
      <c r="D35" s="36" t="str">
        <f>'Condições Gerais'!A17</f>
        <v>Acidente de trabalho</v>
      </c>
      <c r="E35" s="6">
        <f>'Condições Gerais'!B17</f>
        <v>3.2499999999999999E-4</v>
      </c>
      <c r="F35" s="7">
        <f t="shared" si="1"/>
        <v>0</v>
      </c>
    </row>
    <row r="36" spans="2:10" ht="12.75" customHeight="1" x14ac:dyDescent="0.25">
      <c r="B36" s="404"/>
      <c r="C36" s="148">
        <v>15</v>
      </c>
      <c r="D36" s="36" t="str">
        <f>'Condições Gerais'!A18</f>
        <v>Aviso Prévio</v>
      </c>
      <c r="E36" s="6">
        <f>'Condições Gerais'!B18</f>
        <v>1.9444444444444445E-2</v>
      </c>
      <c r="F36" s="7">
        <f t="shared" si="1"/>
        <v>0</v>
      </c>
    </row>
    <row r="37" spans="2:10" ht="12.75" customHeight="1" x14ac:dyDescent="0.25">
      <c r="B37" s="404"/>
      <c r="C37" s="148">
        <v>16</v>
      </c>
      <c r="D37" s="36" t="str">
        <f>'Condições Gerais'!A19</f>
        <v>13º Salário</v>
      </c>
      <c r="E37" s="6">
        <f>'Condições Gerais'!B19</f>
        <v>9.0277777777777776E-2</v>
      </c>
      <c r="F37" s="7">
        <f t="shared" si="1"/>
        <v>0</v>
      </c>
    </row>
    <row r="38" spans="2:10" ht="12.75" customHeight="1" x14ac:dyDescent="0.25">
      <c r="B38" s="404"/>
      <c r="C38" s="11" t="s">
        <v>22</v>
      </c>
      <c r="D38" s="11"/>
      <c r="E38" s="12">
        <f>SUM(E30:E37)</f>
        <v>0.26092770370370372</v>
      </c>
      <c r="F38" s="13">
        <f>SUM(F30:F37)</f>
        <v>0</v>
      </c>
    </row>
    <row r="39" spans="2:10" ht="12.75" customHeight="1" x14ac:dyDescent="0.25">
      <c r="B39" s="405" t="s">
        <v>23</v>
      </c>
      <c r="C39" s="149">
        <v>17</v>
      </c>
      <c r="D39" s="37" t="str">
        <f>'Condições Gerais'!A20</f>
        <v>Indenizações  - rescisões s/ justa causa</v>
      </c>
      <c r="E39" s="14">
        <f>'Condições Gerais'!B20</f>
        <v>4.7775999999999999E-2</v>
      </c>
      <c r="F39" s="7">
        <f t="shared" si="1"/>
        <v>0</v>
      </c>
    </row>
    <row r="40" spans="2:10" ht="12.75" customHeight="1" x14ac:dyDescent="0.25">
      <c r="B40" s="405"/>
      <c r="C40" s="15" t="s">
        <v>24</v>
      </c>
      <c r="D40" s="15"/>
      <c r="E40" s="16">
        <f>SUM(E39)</f>
        <v>4.7775999999999999E-2</v>
      </c>
      <c r="F40" s="17">
        <f>SUM(F39)</f>
        <v>0</v>
      </c>
    </row>
    <row r="41" spans="2:10" s="1" customFormat="1" ht="25.5" customHeight="1" x14ac:dyDescent="0.25">
      <c r="B41" s="406" t="s">
        <v>33</v>
      </c>
      <c r="C41" s="33">
        <v>18</v>
      </c>
      <c r="D41" s="18" t="s">
        <v>37</v>
      </c>
      <c r="E41" s="34">
        <f>E29*E38</f>
        <v>9.341211792592595E-2</v>
      </c>
      <c r="F41" s="35">
        <f t="shared" si="1"/>
        <v>0</v>
      </c>
      <c r="G41" s="58"/>
      <c r="H41" s="58"/>
      <c r="I41" s="58"/>
      <c r="J41" s="58"/>
    </row>
    <row r="42" spans="2:10" ht="12.75" customHeight="1" x14ac:dyDescent="0.25">
      <c r="B42" s="406"/>
      <c r="C42" s="19" t="s">
        <v>25</v>
      </c>
      <c r="D42" s="19"/>
      <c r="E42" s="20">
        <f>SUM(E41)</f>
        <v>9.341211792592595E-2</v>
      </c>
      <c r="F42" s="21">
        <f>SUM(F41)</f>
        <v>0</v>
      </c>
    </row>
    <row r="43" spans="2:10" ht="12.75" customHeight="1" x14ac:dyDescent="0.25">
      <c r="B43" s="48" t="s">
        <v>114</v>
      </c>
      <c r="C43" s="49"/>
      <c r="D43" s="50"/>
      <c r="E43" s="20">
        <f>E29+E38+E40+E42</f>
        <v>0.76011582162962976</v>
      </c>
      <c r="F43" s="21">
        <f>F29+F38+F40+F42</f>
        <v>0</v>
      </c>
    </row>
    <row r="45" spans="2:10" ht="25.5" customHeight="1" x14ac:dyDescent="0.25">
      <c r="B45" s="99" t="s">
        <v>142</v>
      </c>
      <c r="C45" s="100"/>
      <c r="D45" s="100"/>
      <c r="E45" s="101" t="s">
        <v>118</v>
      </c>
      <c r="F45" s="93" t="s">
        <v>58</v>
      </c>
    </row>
    <row r="46" spans="2:10" ht="12.75" customHeight="1" x14ac:dyDescent="0.25">
      <c r="B46" s="94"/>
      <c r="C46" s="22">
        <v>1</v>
      </c>
      <c r="D46" s="51" t="s">
        <v>140</v>
      </c>
      <c r="E46" s="61">
        <f>(F9*0.06)</f>
        <v>0</v>
      </c>
      <c r="F46" s="23">
        <f>IF(('Condições Gerais'!M33-E46)&lt;0,0,'Condições Gerais'!M33-E46)</f>
        <v>0</v>
      </c>
      <c r="G46" s="150"/>
    </row>
    <row r="47" spans="2:10" ht="12.75" customHeight="1" x14ac:dyDescent="0.25">
      <c r="B47" s="95"/>
      <c r="C47" s="22">
        <v>2</v>
      </c>
      <c r="D47" s="62" t="s">
        <v>124</v>
      </c>
      <c r="E47" s="61">
        <f>'Condições Gerais'!M37*'Condições Gerais'!M36</f>
        <v>0</v>
      </c>
      <c r="F47" s="23">
        <f>'Condições Gerais'!M37-E47</f>
        <v>0</v>
      </c>
    </row>
    <row r="48" spans="2:10" ht="12.75" customHeight="1" x14ac:dyDescent="0.25">
      <c r="B48" s="95"/>
      <c r="C48" s="22">
        <v>3</v>
      </c>
      <c r="D48" s="63" t="s">
        <v>133</v>
      </c>
      <c r="E48" s="139" t="s">
        <v>41</v>
      </c>
      <c r="F48" s="23">
        <f>'Condições Gerais'!M41</f>
        <v>0</v>
      </c>
    </row>
    <row r="49" spans="2:6" ht="12.75" customHeight="1" x14ac:dyDescent="0.25">
      <c r="B49" s="95"/>
      <c r="C49" s="22">
        <v>4</v>
      </c>
      <c r="D49" s="62" t="str">
        <f>'Condições Gerais'!D22</f>
        <v>INTRAJORNADA (indenizatória)</v>
      </c>
      <c r="E49" s="139" t="s">
        <v>41</v>
      </c>
      <c r="F49" s="23">
        <f>'Condições Gerais'!M23</f>
        <v>0</v>
      </c>
    </row>
    <row r="50" spans="2:6" ht="12.75" customHeight="1" x14ac:dyDescent="0.25">
      <c r="B50" s="95"/>
      <c r="C50" s="22">
        <v>5</v>
      </c>
      <c r="D50" s="62" t="str">
        <f>'Condições Gerais'!D42</f>
        <v>PAF (CCT2024, Cláus. 14ª, §4º)</v>
      </c>
      <c r="E50" s="139" t="s">
        <v>41</v>
      </c>
      <c r="F50" s="23">
        <f>'Condições Gerais'!M43</f>
        <v>0</v>
      </c>
    </row>
    <row r="51" spans="2:6" ht="12.75" customHeight="1" x14ac:dyDescent="0.25">
      <c r="B51" s="95"/>
      <c r="C51" s="22">
        <v>6</v>
      </c>
      <c r="D51" s="62" t="str">
        <f>'Condições Gerais'!D44</f>
        <v>Contr. Ass. Patronal (CCT2024, Cláus. 55ª, caput)</v>
      </c>
      <c r="E51" s="139" t="s">
        <v>41</v>
      </c>
      <c r="F51" s="23">
        <f>'Condições Gerais'!M45</f>
        <v>0</v>
      </c>
    </row>
    <row r="52" spans="2:6" ht="12.75" customHeight="1" x14ac:dyDescent="0.25">
      <c r="B52" s="95"/>
      <c r="C52" s="22">
        <v>7</v>
      </c>
      <c r="D52" s="62" t="str">
        <f>'Condições Gerais'!D46</f>
        <v>Outros custos ou benefícios da CCT</v>
      </c>
      <c r="E52" s="139" t="s">
        <v>41</v>
      </c>
      <c r="F52" s="23">
        <f>'Condições Gerais'!M47</f>
        <v>0</v>
      </c>
    </row>
    <row r="53" spans="2:6" ht="12.75" customHeight="1" x14ac:dyDescent="0.25">
      <c r="B53" s="96"/>
      <c r="C53" s="22">
        <v>8</v>
      </c>
      <c r="D53" s="62" t="str">
        <f>'Condições Gerais'!D48</f>
        <v>Outros custos ou benefícios da CCT</v>
      </c>
      <c r="E53" s="139" t="s">
        <v>41</v>
      </c>
      <c r="F53" s="23">
        <f>'Condições Gerais'!M49</f>
        <v>0</v>
      </c>
    </row>
    <row r="54" spans="2:6" ht="12.75" customHeight="1" x14ac:dyDescent="0.25">
      <c r="B54" s="96"/>
      <c r="C54" s="22">
        <v>9</v>
      </c>
      <c r="D54" s="62" t="str">
        <f>'Condições Gerais'!D50</f>
        <v>Outros custos ou benefícios da CCT</v>
      </c>
      <c r="E54" s="139" t="s">
        <v>41</v>
      </c>
      <c r="F54" s="23">
        <f>'Condições Gerais'!M51</f>
        <v>0</v>
      </c>
    </row>
    <row r="55" spans="2:6" ht="12.75" customHeight="1" x14ac:dyDescent="0.25">
      <c r="B55" s="96"/>
      <c r="C55" s="22">
        <v>10</v>
      </c>
      <c r="D55" s="62" t="str">
        <f>'Condições Gerais'!D52</f>
        <v>Outros custos ou benefícios da CCT</v>
      </c>
      <c r="E55" s="139" t="s">
        <v>41</v>
      </c>
      <c r="F55" s="23">
        <f>'Condições Gerais'!M53</f>
        <v>0</v>
      </c>
    </row>
    <row r="56" spans="2:6" ht="12.75" customHeight="1" x14ac:dyDescent="0.25">
      <c r="B56" s="96"/>
      <c r="C56" s="22">
        <v>11</v>
      </c>
      <c r="D56" s="62" t="str">
        <f>'Condições Gerais'!D54</f>
        <v>Outros custos ou benefícios da CCT</v>
      </c>
      <c r="E56" s="139" t="s">
        <v>41</v>
      </c>
      <c r="F56" s="23">
        <f>'Condições Gerais'!M55</f>
        <v>0</v>
      </c>
    </row>
    <row r="57" spans="2:6" ht="12.75" customHeight="1" x14ac:dyDescent="0.25">
      <c r="B57" s="48" t="s">
        <v>143</v>
      </c>
      <c r="C57" s="49"/>
      <c r="D57" s="49"/>
      <c r="E57" s="50"/>
      <c r="F57" s="30">
        <f>SUM(F46:F56)</f>
        <v>0</v>
      </c>
    </row>
    <row r="59" spans="2:6" ht="12.75" customHeight="1" x14ac:dyDescent="0.25">
      <c r="B59" s="45" t="s">
        <v>145</v>
      </c>
      <c r="C59" s="46"/>
      <c r="D59" s="46"/>
      <c r="E59" s="102"/>
      <c r="F59" s="93" t="s">
        <v>58</v>
      </c>
    </row>
    <row r="60" spans="2:6" ht="12.75" customHeight="1" x14ac:dyDescent="0.25">
      <c r="B60" s="40" t="s">
        <v>113</v>
      </c>
      <c r="C60" s="41"/>
      <c r="D60" s="41"/>
      <c r="E60" s="102"/>
      <c r="F60" s="38">
        <f>F18</f>
        <v>0</v>
      </c>
    </row>
    <row r="61" spans="2:6" ht="12.75" customHeight="1" x14ac:dyDescent="0.25">
      <c r="B61" s="42" t="s">
        <v>114</v>
      </c>
      <c r="C61" s="43"/>
      <c r="D61" s="43"/>
      <c r="E61" s="102"/>
      <c r="F61" s="39">
        <f>F43</f>
        <v>0</v>
      </c>
    </row>
    <row r="62" spans="2:6" ht="12.75" customHeight="1" x14ac:dyDescent="0.25">
      <c r="B62" s="42" t="s">
        <v>143</v>
      </c>
      <c r="C62" s="43"/>
      <c r="D62" s="43"/>
      <c r="E62" s="102"/>
      <c r="F62" s="39">
        <f>F57</f>
        <v>0</v>
      </c>
    </row>
    <row r="63" spans="2:6" ht="12.75" customHeight="1" x14ac:dyDescent="0.25">
      <c r="B63" s="65" t="s">
        <v>64</v>
      </c>
      <c r="C63" s="88"/>
      <c r="D63" s="88"/>
      <c r="E63" s="64"/>
      <c r="F63" s="60">
        <f>SUM(F60:F62)</f>
        <v>0</v>
      </c>
    </row>
    <row r="65" spans="2:6" ht="12.75" customHeight="1" x14ac:dyDescent="0.25">
      <c r="B65" s="65" t="s">
        <v>273</v>
      </c>
      <c r="C65" s="66"/>
      <c r="D65" s="66"/>
      <c r="E65" s="103" t="s">
        <v>4</v>
      </c>
      <c r="F65" s="93" t="s">
        <v>58</v>
      </c>
    </row>
    <row r="66" spans="2:6" ht="12.75" customHeight="1" x14ac:dyDescent="0.25">
      <c r="B66" s="65" t="s">
        <v>274</v>
      </c>
      <c r="C66" s="88"/>
      <c r="D66" s="88"/>
      <c r="E66" s="164">
        <f>'Condições Gerais'!B38</f>
        <v>0</v>
      </c>
      <c r="F66" s="165">
        <f>E66*F63</f>
        <v>0</v>
      </c>
    </row>
    <row r="68" spans="2:6" ht="12.75" customHeight="1" x14ac:dyDescent="0.25">
      <c r="B68" s="65" t="s">
        <v>261</v>
      </c>
      <c r="C68" s="66"/>
      <c r="D68" s="66"/>
      <c r="E68" s="166"/>
      <c r="F68" s="93" t="s">
        <v>58</v>
      </c>
    </row>
    <row r="69" spans="2:6" ht="12.75" customHeight="1" x14ac:dyDescent="0.25">
      <c r="B69" s="65" t="s">
        <v>262</v>
      </c>
      <c r="C69" s="88"/>
      <c r="D69" s="88"/>
      <c r="E69" s="167"/>
      <c r="F69" s="165">
        <f>F63+F66</f>
        <v>0</v>
      </c>
    </row>
    <row r="71" spans="2:6" ht="12.75" customHeight="1" x14ac:dyDescent="0.25">
      <c r="B71" s="45" t="s">
        <v>263</v>
      </c>
      <c r="C71" s="46"/>
      <c r="D71" s="47"/>
      <c r="E71" s="103" t="s">
        <v>4</v>
      </c>
      <c r="F71" s="93" t="s">
        <v>38</v>
      </c>
    </row>
    <row r="72" spans="2:6" ht="12.75" customHeight="1" x14ac:dyDescent="0.25">
      <c r="B72" s="28"/>
      <c r="C72" s="3">
        <v>1</v>
      </c>
      <c r="D72" s="24" t="str">
        <f>'Condições Gerais'!A33</f>
        <v>PIS</v>
      </c>
      <c r="E72" s="25">
        <f>'Condições Gerais'!B33</f>
        <v>1.6500000000000001E-2</v>
      </c>
      <c r="F72" s="26">
        <f>E72*F$79</f>
        <v>0</v>
      </c>
    </row>
    <row r="73" spans="2:6" ht="12.75" customHeight="1" x14ac:dyDescent="0.25">
      <c r="B73" s="29"/>
      <c r="C73" s="3">
        <v>2</v>
      </c>
      <c r="D73" s="24" t="str">
        <f>'Condições Gerais'!A34</f>
        <v>COFINS</v>
      </c>
      <c r="E73" s="25">
        <f>'Condições Gerais'!B34</f>
        <v>7.5999999999999998E-2</v>
      </c>
      <c r="F73" s="26">
        <f>E73*F$79</f>
        <v>0</v>
      </c>
    </row>
    <row r="74" spans="2:6" ht="12.75" customHeight="1" x14ac:dyDescent="0.25">
      <c r="B74" s="29"/>
      <c r="C74" s="3">
        <v>3</v>
      </c>
      <c r="D74" s="24" t="str">
        <f>'Condições Gerais'!A35</f>
        <v>ISS</v>
      </c>
      <c r="E74" s="25">
        <f>'Condições Gerais'!B35</f>
        <v>0.05</v>
      </c>
      <c r="F74" s="26">
        <f>E74*F$79</f>
        <v>0</v>
      </c>
    </row>
    <row r="75" spans="2:6" ht="12.75" customHeight="1" x14ac:dyDescent="0.25">
      <c r="B75" s="48" t="s">
        <v>34</v>
      </c>
      <c r="C75" s="49"/>
      <c r="D75" s="50"/>
      <c r="E75" s="27">
        <f>SUM(E72:E74)</f>
        <v>0.14250000000000002</v>
      </c>
      <c r="F75" s="31">
        <f>E75*F$79</f>
        <v>0</v>
      </c>
    </row>
    <row r="77" spans="2:6" ht="12.75" customHeight="1" x14ac:dyDescent="0.25">
      <c r="B77" s="45" t="s">
        <v>264</v>
      </c>
      <c r="C77" s="46"/>
      <c r="D77" s="47"/>
      <c r="E77" s="103" t="s">
        <v>4</v>
      </c>
      <c r="F77" s="93" t="s">
        <v>38</v>
      </c>
    </row>
    <row r="78" spans="2:6" s="104" customFormat="1" ht="12.75" customHeight="1" x14ac:dyDescent="0.25">
      <c r="B78" s="69" t="s">
        <v>265</v>
      </c>
      <c r="C78" s="70"/>
      <c r="D78" s="71"/>
      <c r="E78" s="72">
        <f>1-E75</f>
        <v>0.85749999999999993</v>
      </c>
      <c r="F78" s="140" t="s">
        <v>41</v>
      </c>
    </row>
    <row r="79" spans="2:6" s="104" customFormat="1" ht="12.75" customHeight="1" x14ac:dyDescent="0.25">
      <c r="B79" s="69" t="s">
        <v>125</v>
      </c>
      <c r="C79" s="70"/>
      <c r="D79" s="71"/>
      <c r="E79" s="72">
        <v>1</v>
      </c>
      <c r="F79" s="73">
        <f>F69/E78</f>
        <v>0</v>
      </c>
    </row>
    <row r="80" spans="2:6" s="104" customFormat="1" ht="12.75" customHeight="1" x14ac:dyDescent="0.25">
      <c r="B80" s="74" t="s">
        <v>266</v>
      </c>
      <c r="C80" s="75"/>
      <c r="D80" s="76"/>
      <c r="E80" s="77"/>
      <c r="F80" s="78"/>
    </row>
    <row r="82" spans="2:6" s="104" customFormat="1" ht="25.5" customHeight="1" x14ac:dyDescent="0.25">
      <c r="B82" s="69" t="s">
        <v>268</v>
      </c>
      <c r="C82" s="70"/>
      <c r="D82" s="71"/>
      <c r="E82" s="2" t="s">
        <v>60</v>
      </c>
      <c r="F82" s="68" t="s">
        <v>36</v>
      </c>
    </row>
    <row r="83" spans="2:6" ht="12.75" customHeight="1" x14ac:dyDescent="0.25">
      <c r="B83" s="74"/>
      <c r="C83" s="75"/>
      <c r="D83" s="76"/>
      <c r="E83" s="143">
        <f>'Condições Gerais'!M14</f>
        <v>0</v>
      </c>
      <c r="F83" s="68">
        <f>F79*E83</f>
        <v>0</v>
      </c>
    </row>
    <row r="85" spans="2:6" s="104" customFormat="1" ht="25.5" customHeight="1" x14ac:dyDescent="0.25">
      <c r="B85" s="69" t="s">
        <v>267</v>
      </c>
      <c r="C85" s="70"/>
      <c r="D85" s="71"/>
      <c r="E85" s="2" t="s">
        <v>35</v>
      </c>
      <c r="F85" s="68" t="s">
        <v>59</v>
      </c>
    </row>
    <row r="86" spans="2:6" ht="12.75" customHeight="1" x14ac:dyDescent="0.25">
      <c r="B86" s="74"/>
      <c r="C86" s="75"/>
      <c r="D86" s="76"/>
      <c r="E86" s="105">
        <f>'Condições Gerais'!B8</f>
        <v>12</v>
      </c>
      <c r="F86" s="68">
        <f>F83*E86</f>
        <v>0</v>
      </c>
    </row>
  </sheetData>
  <mergeCells count="6">
    <mergeCell ref="B41:B42"/>
    <mergeCell ref="B1:F1"/>
    <mergeCell ref="B3:F3"/>
    <mergeCell ref="B21:B29"/>
    <mergeCell ref="B30:B38"/>
    <mergeCell ref="B39:B40"/>
  </mergeCells>
  <printOptions horizontalCentered="1"/>
  <pageMargins left="0.98425196850393704" right="0.39370078740157483" top="0.39370078740157483" bottom="0.39370078740157483" header="0.31496062992125984" footer="0.31496062992125984"/>
  <pageSetup paperSize="9" scale="6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14"/>
  <sheetViews>
    <sheetView workbookViewId="0">
      <selection activeCell="I12" sqref="I12"/>
    </sheetView>
  </sheetViews>
  <sheetFormatPr defaultColWidth="9.140625" defaultRowHeight="12.75" customHeight="1" x14ac:dyDescent="0.2"/>
  <cols>
    <col min="1" max="1" width="32.7109375" style="251" customWidth="1"/>
    <col min="2" max="2" width="5.7109375" style="246" customWidth="1"/>
    <col min="3" max="3" width="12" style="246" customWidth="1"/>
    <col min="4" max="4" width="5.7109375" style="267" customWidth="1"/>
    <col min="5" max="5" width="12" style="268" customWidth="1"/>
    <col min="6" max="6" width="5.7109375" style="267" customWidth="1"/>
    <col min="7" max="7" width="12" style="246" customWidth="1"/>
    <col min="8" max="8" width="5.7109375" style="246" customWidth="1"/>
    <col min="9" max="9" width="12" style="246" customWidth="1"/>
    <col min="10" max="10" width="5.7109375" style="246" hidden="1" customWidth="1"/>
    <col min="11" max="11" width="12" style="246" hidden="1" customWidth="1"/>
    <col min="12" max="12" width="5.7109375" style="246" hidden="1" customWidth="1"/>
    <col min="13" max="13" width="12" style="246" hidden="1" customWidth="1"/>
    <col min="14" max="14" width="5.7109375" style="246" hidden="1" customWidth="1"/>
    <col min="15" max="15" width="12" style="246" hidden="1" customWidth="1"/>
    <col min="16" max="16" width="5.85546875" style="267" customWidth="1"/>
    <col min="17" max="17" width="13.42578125" style="246" customWidth="1"/>
    <col min="18" max="18" width="10" style="246" bestFit="1" customWidth="1"/>
    <col min="19" max="16384" width="9.140625" style="246"/>
  </cols>
  <sheetData>
    <row r="1" spans="1:17" ht="18.75" x14ac:dyDescent="0.3">
      <c r="A1" s="415" t="s">
        <v>304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  <c r="P1" s="415"/>
      <c r="Q1" s="415"/>
    </row>
    <row r="2" spans="1:17" ht="12.75" customHeight="1" x14ac:dyDescent="0.25">
      <c r="A2" s="416"/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O2" s="416"/>
      <c r="P2" s="416"/>
      <c r="Q2" s="416"/>
    </row>
    <row r="3" spans="1:17" ht="12.75" customHeight="1" x14ac:dyDescent="0.2">
      <c r="A3" s="247"/>
      <c r="B3" s="248"/>
      <c r="C3" s="248"/>
      <c r="D3" s="249"/>
      <c r="E3" s="250"/>
      <c r="F3" s="249"/>
      <c r="G3" s="248"/>
      <c r="H3" s="248"/>
      <c r="I3" s="248"/>
      <c r="J3" s="248"/>
      <c r="K3" s="248"/>
      <c r="L3" s="248"/>
      <c r="M3" s="248"/>
      <c r="N3" s="248"/>
      <c r="O3" s="248"/>
      <c r="P3" s="249"/>
      <c r="Q3" s="248"/>
    </row>
    <row r="4" spans="1:17" ht="12.75" customHeight="1" x14ac:dyDescent="0.2">
      <c r="A4" s="419" t="s">
        <v>186</v>
      </c>
      <c r="B4" s="417" t="s">
        <v>200</v>
      </c>
      <c r="C4" s="418"/>
      <c r="D4" s="417" t="s">
        <v>201</v>
      </c>
      <c r="E4" s="418"/>
      <c r="F4" s="417" t="s">
        <v>202</v>
      </c>
      <c r="G4" s="418"/>
      <c r="H4" s="417" t="s">
        <v>203</v>
      </c>
      <c r="I4" s="418"/>
      <c r="J4" s="417" t="s">
        <v>204</v>
      </c>
      <c r="K4" s="418"/>
      <c r="L4" s="417" t="s">
        <v>205</v>
      </c>
      <c r="M4" s="418"/>
      <c r="N4" s="417" t="s">
        <v>206</v>
      </c>
      <c r="O4" s="418"/>
      <c r="P4" s="420" t="s">
        <v>2</v>
      </c>
      <c r="Q4" s="420" t="s">
        <v>191</v>
      </c>
    </row>
    <row r="5" spans="1:17" s="251" customFormat="1" ht="19.899999999999999" customHeight="1" x14ac:dyDescent="0.2">
      <c r="A5" s="419"/>
      <c r="B5" s="421" t="str">
        <f>'Condições Gerais'!G6</f>
        <v>01- RECEPCIONISTA / ATENDENTE</v>
      </c>
      <c r="C5" s="422"/>
      <c r="D5" s="423" t="str">
        <f>'Condições Gerais'!H6</f>
        <v>02-  SUPERVISOR</v>
      </c>
      <c r="E5" s="422"/>
      <c r="F5" s="413" t="str">
        <f>'Condições Gerais'!I6</f>
        <v>03-  XXXXXX</v>
      </c>
      <c r="G5" s="414"/>
      <c r="H5" s="413" t="str">
        <f>'Condições Gerais'!J6</f>
        <v>04- XXXXXX</v>
      </c>
      <c r="I5" s="414"/>
      <c r="J5" s="413" t="str">
        <f>'Condições Gerais'!K6</f>
        <v>05-</v>
      </c>
      <c r="K5" s="414"/>
      <c r="L5" s="413" t="str">
        <f>'Condições Gerais'!L6</f>
        <v>06-</v>
      </c>
      <c r="M5" s="414"/>
      <c r="N5" s="413" t="str">
        <f>'Condições Gerais'!M6</f>
        <v xml:space="preserve">07- </v>
      </c>
      <c r="O5" s="414"/>
      <c r="P5" s="420"/>
      <c r="Q5" s="420"/>
    </row>
    <row r="6" spans="1:17" ht="24.75" customHeight="1" x14ac:dyDescent="0.2">
      <c r="A6" s="419"/>
      <c r="B6" s="252" t="s">
        <v>187</v>
      </c>
      <c r="C6" s="253">
        <f>'1'!F79</f>
        <v>6383.4225710073479</v>
      </c>
      <c r="D6" s="252" t="s">
        <v>187</v>
      </c>
      <c r="E6" s="253">
        <f>'2'!F79</f>
        <v>7550.7484028743402</v>
      </c>
      <c r="F6" s="252" t="s">
        <v>187</v>
      </c>
      <c r="G6" s="253">
        <f>'3'!F79</f>
        <v>0</v>
      </c>
      <c r="H6" s="252" t="s">
        <v>187</v>
      </c>
      <c r="I6" s="253">
        <f>'4'!F79</f>
        <v>54.986394557823132</v>
      </c>
      <c r="J6" s="252" t="s">
        <v>187</v>
      </c>
      <c r="K6" s="253">
        <f>'5'!F79</f>
        <v>0</v>
      </c>
      <c r="L6" s="252" t="s">
        <v>187</v>
      </c>
      <c r="M6" s="253">
        <f>'6'!F79</f>
        <v>0</v>
      </c>
      <c r="N6" s="252" t="s">
        <v>187</v>
      </c>
      <c r="O6" s="253">
        <f>'7'!F79</f>
        <v>0</v>
      </c>
      <c r="P6" s="420"/>
      <c r="Q6" s="420"/>
    </row>
    <row r="7" spans="1:17" ht="12.75" customHeight="1" x14ac:dyDescent="0.2">
      <c r="A7" s="419"/>
      <c r="B7" s="254" t="s">
        <v>189</v>
      </c>
      <c r="C7" s="255" t="s">
        <v>188</v>
      </c>
      <c r="D7" s="254" t="s">
        <v>189</v>
      </c>
      <c r="E7" s="255" t="s">
        <v>188</v>
      </c>
      <c r="F7" s="254" t="s">
        <v>189</v>
      </c>
      <c r="G7" s="255" t="s">
        <v>188</v>
      </c>
      <c r="H7" s="254" t="s">
        <v>189</v>
      </c>
      <c r="I7" s="255" t="s">
        <v>188</v>
      </c>
      <c r="J7" s="254" t="s">
        <v>189</v>
      </c>
      <c r="K7" s="255" t="s">
        <v>188</v>
      </c>
      <c r="L7" s="254" t="s">
        <v>189</v>
      </c>
      <c r="M7" s="255" t="s">
        <v>188</v>
      </c>
      <c r="N7" s="254" t="s">
        <v>189</v>
      </c>
      <c r="O7" s="255" t="s">
        <v>188</v>
      </c>
      <c r="P7" s="420"/>
      <c r="Q7" s="420"/>
    </row>
    <row r="8" spans="1:17" s="261" customFormat="1" ht="22.9" customHeight="1" x14ac:dyDescent="0.25">
      <c r="A8" s="256" t="s">
        <v>302</v>
      </c>
      <c r="B8" s="257">
        <f>'Condições Gerais'!G14</f>
        <v>7</v>
      </c>
      <c r="C8" s="258">
        <f>C$6*B8</f>
        <v>44683.957997051431</v>
      </c>
      <c r="D8" s="257">
        <f>'Condições Gerais'!H14</f>
        <v>2</v>
      </c>
      <c r="E8" s="258">
        <f>E$6*D8</f>
        <v>15101.49680574868</v>
      </c>
      <c r="F8" s="257">
        <f>'Condições Gerais'!I14</f>
        <v>0</v>
      </c>
      <c r="G8" s="258">
        <f>G$6*F8</f>
        <v>0</v>
      </c>
      <c r="H8" s="257">
        <f>'Condições Gerais'!J14</f>
        <v>0</v>
      </c>
      <c r="I8" s="258">
        <f>I$6*H8</f>
        <v>0</v>
      </c>
      <c r="J8" s="259"/>
      <c r="K8" s="258">
        <f>K$6*J8</f>
        <v>0</v>
      </c>
      <c r="L8" s="259"/>
      <c r="M8" s="258">
        <f>M$6*L8</f>
        <v>0</v>
      </c>
      <c r="N8" s="259"/>
      <c r="O8" s="258">
        <f>O$6*N8</f>
        <v>0</v>
      </c>
      <c r="P8" s="260">
        <f>B8+D8+F8+H8+J8+L8+N8</f>
        <v>9</v>
      </c>
      <c r="Q8" s="258">
        <f>C8+E8+G8+I8+K8+M8+O8</f>
        <v>59785.454802800115</v>
      </c>
    </row>
    <row r="9" spans="1:17" ht="12.75" customHeight="1" x14ac:dyDescent="0.2">
      <c r="A9" s="262" t="s">
        <v>36</v>
      </c>
      <c r="B9" s="263"/>
      <c r="C9" s="264">
        <f>SUM(C8:C8)</f>
        <v>44683.957997051431</v>
      </c>
      <c r="D9" s="263"/>
      <c r="E9" s="264">
        <f>SUM(E8:E8)</f>
        <v>15101.49680574868</v>
      </c>
      <c r="F9" s="263"/>
      <c r="G9" s="264">
        <f>SUM(G8:G8)</f>
        <v>0</v>
      </c>
      <c r="H9" s="263"/>
      <c r="I9" s="264">
        <f>SUM(I8:I8)</f>
        <v>0</v>
      </c>
      <c r="J9" s="263"/>
      <c r="K9" s="264">
        <f>SUM(K8:K8)</f>
        <v>0</v>
      </c>
      <c r="L9" s="263"/>
      <c r="M9" s="264">
        <f>SUM(M8:M8)</f>
        <v>0</v>
      </c>
      <c r="N9" s="263"/>
      <c r="O9" s="264">
        <f>SUM(O8:O8)</f>
        <v>0</v>
      </c>
      <c r="P9" s="263">
        <f>B9+D9+F9+H9+J9+L9+N9</f>
        <v>0</v>
      </c>
      <c r="Q9" s="265">
        <f>C9+E9+G9+I9+K9+M9+O9</f>
        <v>59785.454802800115</v>
      </c>
    </row>
    <row r="10" spans="1:17" ht="12.75" customHeight="1" x14ac:dyDescent="0.2">
      <c r="A10" s="262" t="s">
        <v>190</v>
      </c>
      <c r="B10" s="266"/>
      <c r="C10" s="264">
        <f>C9*12</f>
        <v>536207.49596461724</v>
      </c>
      <c r="D10" s="266"/>
      <c r="E10" s="264">
        <f>E9*12</f>
        <v>181217.96166898415</v>
      </c>
      <c r="F10" s="266"/>
      <c r="G10" s="264">
        <f>G9*12</f>
        <v>0</v>
      </c>
      <c r="H10" s="266"/>
      <c r="I10" s="264">
        <f>I9*12</f>
        <v>0</v>
      </c>
      <c r="J10" s="266"/>
      <c r="K10" s="264">
        <f>K9*12</f>
        <v>0</v>
      </c>
      <c r="L10" s="266"/>
      <c r="M10" s="264">
        <f>M9*12</f>
        <v>0</v>
      </c>
      <c r="N10" s="266"/>
      <c r="O10" s="264">
        <f>O9*12</f>
        <v>0</v>
      </c>
      <c r="P10" s="266"/>
      <c r="Q10" s="265">
        <f>C10+E10+G10+I10+K10+M10+O10</f>
        <v>717425.45763360139</v>
      </c>
    </row>
    <row r="14" spans="1:17" ht="12.75" customHeight="1" x14ac:dyDescent="0.2">
      <c r="A14" s="246"/>
      <c r="C14" s="269"/>
      <c r="D14" s="246"/>
      <c r="E14" s="246"/>
      <c r="F14" s="246"/>
      <c r="P14" s="246"/>
    </row>
  </sheetData>
  <sheetProtection algorithmName="SHA-512" hashValue="TtsbGWOmhz9owWKi1Q4M94wZEvYjw+xp5N1rRJcafYtbGDSB7q2pyr14vVEQE2VUhSJ/I8Se+k8CqXn9AU2s5A==" saltValue="3wA6sk3VhGju0boscXh4hA==" spinCount="100000" sheet="1" objects="1" scenarios="1"/>
  <mergeCells count="19">
    <mergeCell ref="F5:G5"/>
    <mergeCell ref="H5:I5"/>
    <mergeCell ref="J5:K5"/>
    <mergeCell ref="L5:M5"/>
    <mergeCell ref="A1:Q1"/>
    <mergeCell ref="A2:Q2"/>
    <mergeCell ref="N4:O4"/>
    <mergeCell ref="A4:A7"/>
    <mergeCell ref="P4:P7"/>
    <mergeCell ref="Q4:Q7"/>
    <mergeCell ref="B4:C4"/>
    <mergeCell ref="D4:E4"/>
    <mergeCell ref="F4:G4"/>
    <mergeCell ref="H4:I4"/>
    <mergeCell ref="J4:K4"/>
    <mergeCell ref="L4:M4"/>
    <mergeCell ref="N5:O5"/>
    <mergeCell ref="B5:C5"/>
    <mergeCell ref="D5:E5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zoomScale="90" zoomScaleNormal="90" workbookViewId="0">
      <selection activeCell="A3" sqref="A3"/>
    </sheetView>
  </sheetViews>
  <sheetFormatPr defaultRowHeight="15" x14ac:dyDescent="0.25"/>
  <cols>
    <col min="1" max="1" width="61.5703125" customWidth="1"/>
    <col min="2" max="2" width="24" style="173" customWidth="1"/>
  </cols>
  <sheetData>
    <row r="1" spans="1:2" ht="15.75" x14ac:dyDescent="0.25">
      <c r="A1" s="157" t="s">
        <v>281</v>
      </c>
    </row>
    <row r="3" spans="1:2" x14ac:dyDescent="0.25">
      <c r="A3" t="s">
        <v>297</v>
      </c>
    </row>
    <row r="4" spans="1:2" x14ac:dyDescent="0.25">
      <c r="A4" t="s">
        <v>295</v>
      </c>
    </row>
    <row r="5" spans="1:2" ht="15.75" x14ac:dyDescent="0.25">
      <c r="B5" s="172"/>
    </row>
    <row r="6" spans="1:2" ht="15.75" x14ac:dyDescent="0.25">
      <c r="A6" s="157" t="s">
        <v>296</v>
      </c>
      <c r="B6" s="172"/>
    </row>
    <row r="8" spans="1:2" x14ac:dyDescent="0.25">
      <c r="A8" s="178" t="s">
        <v>293</v>
      </c>
      <c r="B8" s="175" t="s">
        <v>294</v>
      </c>
    </row>
    <row r="9" spans="1:2" x14ac:dyDescent="0.25">
      <c r="A9" s="177"/>
      <c r="B9" s="174"/>
    </row>
    <row r="10" spans="1:2" x14ac:dyDescent="0.25">
      <c r="A10" s="177"/>
      <c r="B10" s="174"/>
    </row>
    <row r="11" spans="1:2" x14ac:dyDescent="0.25">
      <c r="A11" s="177"/>
      <c r="B11" s="174"/>
    </row>
    <row r="12" spans="1:2" x14ac:dyDescent="0.25">
      <c r="A12" s="177"/>
      <c r="B12" s="174"/>
    </row>
    <row r="13" spans="1:2" x14ac:dyDescent="0.25">
      <c r="A13" s="177"/>
      <c r="B13" s="174"/>
    </row>
    <row r="14" spans="1:2" x14ac:dyDescent="0.25">
      <c r="A14" s="177"/>
      <c r="B14" s="174"/>
    </row>
    <row r="15" spans="1:2" x14ac:dyDescent="0.25">
      <c r="A15" s="177"/>
      <c r="B15" s="174"/>
    </row>
    <row r="16" spans="1:2" x14ac:dyDescent="0.25">
      <c r="A16" s="177"/>
      <c r="B16" s="174"/>
    </row>
    <row r="17" spans="1:2" x14ac:dyDescent="0.25">
      <c r="A17" s="177"/>
      <c r="B17" s="174"/>
    </row>
    <row r="18" spans="1:2" x14ac:dyDescent="0.25">
      <c r="A18" s="177"/>
      <c r="B18" s="174"/>
    </row>
    <row r="19" spans="1:2" x14ac:dyDescent="0.25">
      <c r="A19" s="177"/>
      <c r="B19" s="174"/>
    </row>
    <row r="20" spans="1:2" x14ac:dyDescent="0.25">
      <c r="A20" s="177"/>
      <c r="B20" s="174"/>
    </row>
    <row r="21" spans="1:2" x14ac:dyDescent="0.25">
      <c r="A21" s="177"/>
      <c r="B21" s="174"/>
    </row>
    <row r="22" spans="1:2" x14ac:dyDescent="0.25">
      <c r="A22" s="177"/>
      <c r="B22" s="174"/>
    </row>
    <row r="23" spans="1:2" x14ac:dyDescent="0.25">
      <c r="A23" s="177"/>
      <c r="B23" s="174"/>
    </row>
    <row r="24" spans="1:2" x14ac:dyDescent="0.25">
      <c r="A24" s="177"/>
      <c r="B24" s="174"/>
    </row>
    <row r="25" spans="1:2" x14ac:dyDescent="0.25">
      <c r="A25" s="177"/>
      <c r="B25" s="174"/>
    </row>
    <row r="26" spans="1:2" x14ac:dyDescent="0.25">
      <c r="A26" s="176"/>
      <c r="B26" s="175">
        <f>SUM(B9:B25)</f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95"/>
  <sheetViews>
    <sheetView showGridLines="0" tabSelected="1" topLeftCell="A13" zoomScale="85" zoomScaleNormal="85" workbookViewId="0">
      <selection activeCell="E32" sqref="E32:E33"/>
    </sheetView>
  </sheetViews>
  <sheetFormatPr defaultColWidth="9.140625" defaultRowHeight="15" customHeight="1" x14ac:dyDescent="0.25"/>
  <cols>
    <col min="1" max="1" width="40.7109375" style="182" customWidth="1"/>
    <col min="2" max="2" width="20.85546875" style="182" customWidth="1"/>
    <col min="3" max="3" width="5.28515625" style="182" customWidth="1"/>
    <col min="4" max="4" width="18.140625" style="182" customWidth="1"/>
    <col min="5" max="5" width="10.42578125" style="182" customWidth="1"/>
    <col min="6" max="6" width="14.42578125" style="182" customWidth="1"/>
    <col min="7" max="8" width="18.28515625" style="182" customWidth="1"/>
    <col min="9" max="9" width="18.28515625" style="183" hidden="1" customWidth="1"/>
    <col min="10" max="13" width="18.28515625" style="182" hidden="1" customWidth="1"/>
    <col min="14" max="41" width="8.85546875" customWidth="1"/>
    <col min="42" max="16384" width="9.140625" style="182"/>
  </cols>
  <sheetData>
    <row r="1" spans="1:41" s="203" customFormat="1" ht="23.25" customHeight="1" x14ac:dyDescent="0.25">
      <c r="A1" s="338" t="s">
        <v>311</v>
      </c>
      <c r="B1" s="338"/>
      <c r="C1" s="338"/>
      <c r="D1" s="338"/>
      <c r="E1" s="338"/>
      <c r="F1" s="338"/>
      <c r="G1" s="338"/>
      <c r="H1" s="338"/>
      <c r="I1" s="338"/>
      <c r="J1" s="338"/>
      <c r="K1" s="202"/>
      <c r="L1" s="202"/>
      <c r="M1" s="202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</row>
    <row r="2" spans="1:41" s="203" customFormat="1" ht="23.25" customHeight="1" x14ac:dyDescent="0.25">
      <c r="A2" s="337"/>
      <c r="B2" s="337"/>
      <c r="C2" s="337"/>
      <c r="D2" s="337"/>
      <c r="E2" s="337"/>
      <c r="F2" s="337"/>
      <c r="G2" s="337"/>
      <c r="H2" s="337"/>
      <c r="I2" s="337"/>
      <c r="J2" s="337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</row>
    <row r="3" spans="1:41" s="203" customFormat="1" ht="23.25" customHeight="1" x14ac:dyDescent="0.25">
      <c r="A3" s="336" t="s">
        <v>303</v>
      </c>
      <c r="B3" s="336"/>
      <c r="C3" s="336"/>
      <c r="D3" s="336"/>
      <c r="E3" s="336"/>
      <c r="F3" s="336"/>
      <c r="G3" s="336"/>
      <c r="H3" s="336"/>
      <c r="I3" s="336"/>
      <c r="J3" s="336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</row>
    <row r="4" spans="1:41" ht="15" customHeight="1" x14ac:dyDescent="0.25">
      <c r="G4" s="204"/>
      <c r="H4" s="204"/>
      <c r="I4" s="204"/>
      <c r="J4" s="204"/>
      <c r="K4" s="204"/>
      <c r="L4" s="205"/>
      <c r="M4" s="205"/>
    </row>
    <row r="5" spans="1:41" ht="15" customHeight="1" x14ac:dyDescent="0.25">
      <c r="A5" s="346" t="s">
        <v>277</v>
      </c>
      <c r="B5" s="346"/>
      <c r="D5" s="339" t="s">
        <v>139</v>
      </c>
      <c r="E5" s="339"/>
      <c r="F5" s="339"/>
      <c r="G5" s="206" t="s">
        <v>200</v>
      </c>
      <c r="H5" s="206" t="s">
        <v>201</v>
      </c>
      <c r="I5" s="206" t="s">
        <v>202</v>
      </c>
      <c r="J5" s="206" t="s">
        <v>203</v>
      </c>
      <c r="K5" s="206" t="s">
        <v>204</v>
      </c>
      <c r="L5" s="206" t="s">
        <v>205</v>
      </c>
      <c r="M5" s="206" t="s">
        <v>206</v>
      </c>
    </row>
    <row r="6" spans="1:41" s="189" customFormat="1" ht="35.25" customHeight="1" x14ac:dyDescent="0.25">
      <c r="A6" s="346"/>
      <c r="B6" s="346"/>
      <c r="D6" s="339"/>
      <c r="E6" s="339"/>
      <c r="F6" s="339"/>
      <c r="G6" s="271" t="s">
        <v>300</v>
      </c>
      <c r="H6" s="271" t="s">
        <v>312</v>
      </c>
      <c r="I6" s="271" t="s">
        <v>309</v>
      </c>
      <c r="J6" s="271" t="s">
        <v>310</v>
      </c>
      <c r="K6" s="207" t="s">
        <v>301</v>
      </c>
      <c r="L6" s="207" t="s">
        <v>299</v>
      </c>
      <c r="M6" s="208" t="s">
        <v>166</v>
      </c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</row>
    <row r="7" spans="1:41" s="189" customFormat="1" ht="15" customHeight="1" x14ac:dyDescent="0.25">
      <c r="D7" s="326" t="s">
        <v>32</v>
      </c>
      <c r="E7" s="327"/>
      <c r="F7" s="328"/>
      <c r="G7" s="295" t="str">
        <f>'Proposta Empresa'!G5</f>
        <v>Sindeac</v>
      </c>
      <c r="H7" s="295" t="str">
        <f>'Proposta Empresa'!H5</f>
        <v>Sindeac</v>
      </c>
      <c r="I7" s="295" t="str">
        <f>'Proposta Empresa'!I5</f>
        <v>Sindeac</v>
      </c>
      <c r="J7" s="295" t="str">
        <f>'Proposta Empresa'!J5</f>
        <v>Sindeac</v>
      </c>
      <c r="K7" s="209"/>
      <c r="L7" s="209"/>
      <c r="M7" s="210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1:41" s="189" customFormat="1" ht="15" customHeight="1" x14ac:dyDescent="0.25">
      <c r="A8" s="211" t="s">
        <v>161</v>
      </c>
      <c r="B8" s="212">
        <v>12</v>
      </c>
      <c r="D8" s="326" t="s">
        <v>197</v>
      </c>
      <c r="E8" s="327"/>
      <c r="F8" s="328"/>
      <c r="G8" s="296">
        <f>'Proposta Empresa'!G6</f>
        <v>45292</v>
      </c>
      <c r="H8" s="296">
        <f>'Proposta Empresa'!H6</f>
        <v>45292</v>
      </c>
      <c r="I8" s="296">
        <f>'Proposta Empresa'!I6</f>
        <v>45292</v>
      </c>
      <c r="J8" s="296">
        <f>'Proposta Empresa'!J6</f>
        <v>45292</v>
      </c>
      <c r="K8" s="213"/>
      <c r="L8" s="213"/>
      <c r="M8" s="214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1" s="189" customFormat="1" ht="15" customHeight="1" x14ac:dyDescent="0.25">
      <c r="A9" s="211" t="s">
        <v>213</v>
      </c>
      <c r="B9" s="289">
        <v>1412</v>
      </c>
      <c r="D9" s="326" t="s">
        <v>1</v>
      </c>
      <c r="E9" s="327"/>
      <c r="F9" s="328"/>
      <c r="G9" s="297">
        <f>'Proposta Empresa'!G7</f>
        <v>2405.25</v>
      </c>
      <c r="H9" s="297">
        <v>2989.47</v>
      </c>
      <c r="I9" s="297"/>
      <c r="J9" s="297"/>
      <c r="K9" s="215"/>
      <c r="L9" s="215"/>
      <c r="M9" s="216">
        <v>0</v>
      </c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</row>
    <row r="10" spans="1:41" s="189" customFormat="1" ht="15" customHeight="1" x14ac:dyDescent="0.25">
      <c r="D10" s="326" t="s">
        <v>211</v>
      </c>
      <c r="E10" s="327"/>
      <c r="F10" s="328"/>
      <c r="G10" s="272">
        <v>0</v>
      </c>
      <c r="H10" s="272">
        <v>0</v>
      </c>
      <c r="I10" s="272">
        <v>0</v>
      </c>
      <c r="J10" s="272">
        <v>0</v>
      </c>
      <c r="K10" s="216">
        <v>0</v>
      </c>
      <c r="L10" s="216">
        <v>0</v>
      </c>
      <c r="M10" s="216">
        <v>0</v>
      </c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s="189" customFormat="1" ht="15" customHeight="1" x14ac:dyDescent="0.25">
      <c r="A11" s="217" t="s">
        <v>141</v>
      </c>
      <c r="B11" s="217"/>
      <c r="D11" s="339" t="s">
        <v>209</v>
      </c>
      <c r="E11" s="339"/>
      <c r="F11" s="339"/>
      <c r="G11" s="273">
        <v>0</v>
      </c>
      <c r="H11" s="273">
        <v>0</v>
      </c>
      <c r="I11" s="273">
        <v>0</v>
      </c>
      <c r="J11" s="273">
        <v>0</v>
      </c>
      <c r="K11" s="218">
        <v>0</v>
      </c>
      <c r="L11" s="218">
        <v>0</v>
      </c>
      <c r="M11" s="218">
        <v>0</v>
      </c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s="189" customFormat="1" ht="15" customHeight="1" x14ac:dyDescent="0.25">
      <c r="A12" s="219" t="str">
        <f>'Proposta Empresa'!A24</f>
        <v xml:space="preserve">Férias </v>
      </c>
      <c r="B12" s="299">
        <f>'Proposta Empresa'!B24</f>
        <v>0.12037037037037036</v>
      </c>
      <c r="D12" s="339"/>
      <c r="E12" s="339"/>
      <c r="F12" s="339"/>
      <c r="G12" s="274">
        <v>0</v>
      </c>
      <c r="H12" s="274">
        <v>0</v>
      </c>
      <c r="I12" s="274">
        <v>0</v>
      </c>
      <c r="J12" s="274">
        <v>0</v>
      </c>
      <c r="K12" s="220">
        <v>0</v>
      </c>
      <c r="L12" s="220">
        <v>0</v>
      </c>
      <c r="M12" s="220">
        <v>0</v>
      </c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s="189" customFormat="1" ht="15" customHeight="1" x14ac:dyDescent="0.25">
      <c r="A13" s="219" t="str">
        <f>'Proposta Empresa'!A25</f>
        <v>Auxílio doença</v>
      </c>
      <c r="B13" s="299">
        <f>'Proposta Empresa'!B25</f>
        <v>1.6555555555555556E-2</v>
      </c>
      <c r="D13" s="326" t="s">
        <v>212</v>
      </c>
      <c r="E13" s="327"/>
      <c r="F13" s="328"/>
      <c r="G13" s="275">
        <f>G9+G10+G12</f>
        <v>2405.25</v>
      </c>
      <c r="H13" s="275">
        <f t="shared" ref="H13:M13" si="0">H9+H10+H12</f>
        <v>2989.47</v>
      </c>
      <c r="I13" s="275">
        <f t="shared" si="0"/>
        <v>0</v>
      </c>
      <c r="J13" s="275">
        <f t="shared" si="0"/>
        <v>0</v>
      </c>
      <c r="K13" s="187">
        <f t="shared" si="0"/>
        <v>0</v>
      </c>
      <c r="L13" s="187">
        <f t="shared" si="0"/>
        <v>0</v>
      </c>
      <c r="M13" s="187">
        <f t="shared" si="0"/>
        <v>0</v>
      </c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s="189" customFormat="1" ht="15" customHeight="1" x14ac:dyDescent="0.25">
      <c r="A14" s="219" t="str">
        <f>'Proposta Empresa'!A26</f>
        <v>Licença maternidade</v>
      </c>
      <c r="B14" s="299">
        <f>'Proposta Empresa'!B26</f>
        <v>5.5239999999999994E-3</v>
      </c>
      <c r="D14" s="326" t="s">
        <v>195</v>
      </c>
      <c r="E14" s="327"/>
      <c r="F14" s="328"/>
      <c r="G14" s="276">
        <v>7</v>
      </c>
      <c r="H14" s="276">
        <v>2</v>
      </c>
      <c r="I14" s="276">
        <v>0</v>
      </c>
      <c r="J14" s="276">
        <v>0</v>
      </c>
      <c r="K14" s="221"/>
      <c r="L14" s="221">
        <v>0</v>
      </c>
      <c r="M14" s="222">
        <v>0</v>
      </c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s="189" customFormat="1" ht="15" customHeight="1" x14ac:dyDescent="0.25">
      <c r="A15" s="219" t="str">
        <f>'Proposta Empresa'!A27</f>
        <v>Licença paternidade</v>
      </c>
      <c r="B15" s="299">
        <f>'Proposta Empresa'!B27</f>
        <v>2.0833333333333332E-4</v>
      </c>
      <c r="D15" s="347" t="s">
        <v>196</v>
      </c>
      <c r="E15" s="348"/>
      <c r="F15" s="349"/>
      <c r="G15" s="275">
        <f>G13*G14</f>
        <v>16836.75</v>
      </c>
      <c r="H15" s="275">
        <f t="shared" ref="H15:M15" si="1">H13*H14</f>
        <v>5978.94</v>
      </c>
      <c r="I15" s="275">
        <f t="shared" si="1"/>
        <v>0</v>
      </c>
      <c r="J15" s="275">
        <f t="shared" si="1"/>
        <v>0</v>
      </c>
      <c r="K15" s="187">
        <f t="shared" si="1"/>
        <v>0</v>
      </c>
      <c r="L15" s="187">
        <f t="shared" si="1"/>
        <v>0</v>
      </c>
      <c r="M15" s="187">
        <f t="shared" si="1"/>
        <v>0</v>
      </c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41" ht="15" customHeight="1" x14ac:dyDescent="0.25">
      <c r="A16" s="219" t="str">
        <f>'Proposta Empresa'!A28</f>
        <v>Faltas legais</v>
      </c>
      <c r="B16" s="299">
        <f>'Proposta Empresa'!B28</f>
        <v>8.2222222222222228E-3</v>
      </c>
      <c r="D16" s="347" t="s">
        <v>144</v>
      </c>
      <c r="E16" s="348"/>
      <c r="F16" s="349"/>
      <c r="G16" s="277">
        <v>40</v>
      </c>
      <c r="H16" s="277">
        <v>44</v>
      </c>
      <c r="I16" s="277">
        <v>0</v>
      </c>
      <c r="J16" s="277">
        <v>0</v>
      </c>
      <c r="K16" s="223">
        <v>44</v>
      </c>
      <c r="L16" s="223">
        <v>44</v>
      </c>
      <c r="M16" s="223">
        <v>44</v>
      </c>
    </row>
    <row r="17" spans="1:41" ht="15" customHeight="1" x14ac:dyDescent="0.25">
      <c r="A17" s="219" t="str">
        <f>'Proposta Empresa'!A29</f>
        <v>Acidente de trabalho</v>
      </c>
      <c r="B17" s="299">
        <f>'Proposta Empresa'!B29</f>
        <v>3.2499999999999999E-4</v>
      </c>
      <c r="D17" s="347" t="s">
        <v>126</v>
      </c>
      <c r="E17" s="348"/>
      <c r="F17" s="349"/>
      <c r="G17" s="278">
        <v>200</v>
      </c>
      <c r="H17" s="278">
        <v>220</v>
      </c>
      <c r="I17" s="278">
        <v>220</v>
      </c>
      <c r="J17" s="278">
        <v>220</v>
      </c>
      <c r="K17" s="224">
        <v>220</v>
      </c>
      <c r="L17" s="224">
        <v>220</v>
      </c>
      <c r="M17" s="224">
        <v>220</v>
      </c>
    </row>
    <row r="18" spans="1:41" ht="15" customHeight="1" x14ac:dyDescent="0.25">
      <c r="A18" s="219" t="str">
        <f>'Proposta Empresa'!A30</f>
        <v>Aviso Prévio</v>
      </c>
      <c r="B18" s="299">
        <f>'Proposta Empresa'!B30</f>
        <v>1.9444444444444445E-2</v>
      </c>
      <c r="D18" s="347" t="s">
        <v>61</v>
      </c>
      <c r="E18" s="348"/>
      <c r="F18" s="349"/>
      <c r="G18" s="275">
        <f>G13/G17</f>
        <v>12.026249999999999</v>
      </c>
      <c r="H18" s="275">
        <f t="shared" ref="H18:M18" si="2">H13/H17</f>
        <v>13.5885</v>
      </c>
      <c r="I18" s="275">
        <f t="shared" si="2"/>
        <v>0</v>
      </c>
      <c r="J18" s="275">
        <f t="shared" si="2"/>
        <v>0</v>
      </c>
      <c r="K18" s="187">
        <f t="shared" si="2"/>
        <v>0</v>
      </c>
      <c r="L18" s="187">
        <f t="shared" si="2"/>
        <v>0</v>
      </c>
      <c r="M18" s="187">
        <f t="shared" si="2"/>
        <v>0</v>
      </c>
    </row>
    <row r="19" spans="1:41" ht="15" customHeight="1" x14ac:dyDescent="0.25">
      <c r="A19" s="219" t="str">
        <f>'Proposta Empresa'!A31</f>
        <v>13º Salário</v>
      </c>
      <c r="B19" s="299">
        <f>'Proposta Empresa'!B31</f>
        <v>9.0277777777777776E-2</v>
      </c>
      <c r="D19" s="367" t="s">
        <v>289</v>
      </c>
      <c r="E19" s="368"/>
      <c r="F19" s="279" t="s">
        <v>165</v>
      </c>
      <c r="G19" s="273">
        <v>0.5</v>
      </c>
      <c r="H19" s="273">
        <v>0.5</v>
      </c>
      <c r="I19" s="273">
        <v>0.5</v>
      </c>
      <c r="J19" s="273">
        <v>0.5</v>
      </c>
      <c r="K19" s="218">
        <v>0.5</v>
      </c>
      <c r="L19" s="218">
        <v>0.5</v>
      </c>
      <c r="M19" s="218">
        <v>0.5</v>
      </c>
    </row>
    <row r="20" spans="1:41" ht="15" customHeight="1" x14ac:dyDescent="0.25">
      <c r="A20" s="219" t="str">
        <f>'Proposta Empresa'!A32</f>
        <v>Indenizações  - rescisões s/ justa causa</v>
      </c>
      <c r="B20" s="299">
        <f>'Proposta Empresa'!B32</f>
        <v>4.7775999999999999E-2</v>
      </c>
      <c r="D20" s="375"/>
      <c r="E20" s="376"/>
      <c r="F20" s="291" t="s">
        <v>119</v>
      </c>
      <c r="G20" s="276">
        <v>0</v>
      </c>
      <c r="H20" s="276">
        <v>0</v>
      </c>
      <c r="I20" s="276">
        <v>0</v>
      </c>
      <c r="J20" s="276">
        <v>0</v>
      </c>
      <c r="K20" s="222">
        <v>0</v>
      </c>
      <c r="L20" s="222">
        <v>0</v>
      </c>
      <c r="M20" s="222">
        <v>0</v>
      </c>
    </row>
    <row r="21" spans="1:41" ht="15" customHeight="1" x14ac:dyDescent="0.25">
      <c r="B21" s="225">
        <f>SUM(B12:B20)</f>
        <v>0.3087037037037037</v>
      </c>
      <c r="D21" s="369"/>
      <c r="E21" s="370"/>
      <c r="F21" s="280" t="s">
        <v>58</v>
      </c>
      <c r="G21" s="275">
        <f t="shared" ref="G21:M21" si="3">G18*(1+G19)*G20</f>
        <v>0</v>
      </c>
      <c r="H21" s="275">
        <f t="shared" si="3"/>
        <v>0</v>
      </c>
      <c r="I21" s="275">
        <f t="shared" si="3"/>
        <v>0</v>
      </c>
      <c r="J21" s="275">
        <f t="shared" si="3"/>
        <v>0</v>
      </c>
      <c r="K21" s="187">
        <f t="shared" si="3"/>
        <v>0</v>
      </c>
      <c r="L21" s="187">
        <f t="shared" si="3"/>
        <v>0</v>
      </c>
      <c r="M21" s="187">
        <f t="shared" si="3"/>
        <v>0</v>
      </c>
    </row>
    <row r="22" spans="1:41" ht="15" customHeight="1" x14ac:dyDescent="0.25">
      <c r="A22" s="217" t="s">
        <v>280</v>
      </c>
      <c r="D22" s="371" t="s">
        <v>284</v>
      </c>
      <c r="E22" s="372"/>
      <c r="F22" s="291" t="s">
        <v>119</v>
      </c>
      <c r="G22" s="276">
        <v>0</v>
      </c>
      <c r="H22" s="276">
        <v>0</v>
      </c>
      <c r="I22" s="276">
        <v>0</v>
      </c>
      <c r="J22" s="276">
        <v>0</v>
      </c>
      <c r="K22" s="222">
        <v>0</v>
      </c>
      <c r="L22" s="222">
        <v>0</v>
      </c>
      <c r="M22" s="222">
        <v>0</v>
      </c>
    </row>
    <row r="23" spans="1:41" ht="15" customHeight="1" x14ac:dyDescent="0.25">
      <c r="A23" s="226" t="s">
        <v>5</v>
      </c>
      <c r="B23" s="227">
        <v>0.2</v>
      </c>
      <c r="D23" s="373"/>
      <c r="E23" s="374"/>
      <c r="F23" s="280" t="s">
        <v>58</v>
      </c>
      <c r="G23" s="275">
        <f t="shared" ref="G23:M23" si="4">G22*G18*(1+G19)</f>
        <v>0</v>
      </c>
      <c r="H23" s="275">
        <f t="shared" si="4"/>
        <v>0</v>
      </c>
      <c r="I23" s="275">
        <f t="shared" si="4"/>
        <v>0</v>
      </c>
      <c r="J23" s="275">
        <f t="shared" si="4"/>
        <v>0</v>
      </c>
      <c r="K23" s="187">
        <f t="shared" si="4"/>
        <v>0</v>
      </c>
      <c r="L23" s="187">
        <f t="shared" si="4"/>
        <v>0</v>
      </c>
      <c r="M23" s="187">
        <f t="shared" si="4"/>
        <v>0</v>
      </c>
    </row>
    <row r="24" spans="1:41" ht="15" customHeight="1" x14ac:dyDescent="0.25">
      <c r="A24" s="228" t="s">
        <v>6</v>
      </c>
      <c r="B24" s="229">
        <f>'Proposta Empresa'!B7</f>
        <v>1.4999999999999999E-2</v>
      </c>
      <c r="D24" s="354" t="s">
        <v>227</v>
      </c>
      <c r="E24" s="355"/>
      <c r="F24" s="291" t="s">
        <v>119</v>
      </c>
      <c r="G24" s="276">
        <v>0</v>
      </c>
      <c r="H24" s="276">
        <v>0</v>
      </c>
      <c r="I24" s="276">
        <v>0</v>
      </c>
      <c r="J24" s="276">
        <v>0</v>
      </c>
      <c r="K24" s="222">
        <v>0</v>
      </c>
      <c r="L24" s="222">
        <v>0</v>
      </c>
      <c r="M24" s="222">
        <v>0</v>
      </c>
    </row>
    <row r="25" spans="1:41" ht="15" customHeight="1" x14ac:dyDescent="0.25">
      <c r="A25" s="228" t="s">
        <v>7</v>
      </c>
      <c r="B25" s="229">
        <f>'Proposta Empresa'!B8</f>
        <v>0.01</v>
      </c>
      <c r="D25" s="358"/>
      <c r="E25" s="359"/>
      <c r="F25" s="280" t="s">
        <v>58</v>
      </c>
      <c r="G25" s="275">
        <f t="shared" ref="G25:M25" si="5">G18*2*G24</f>
        <v>0</v>
      </c>
      <c r="H25" s="275">
        <f t="shared" si="5"/>
        <v>0</v>
      </c>
      <c r="I25" s="275">
        <f t="shared" si="5"/>
        <v>0</v>
      </c>
      <c r="J25" s="275">
        <f t="shared" si="5"/>
        <v>0</v>
      </c>
      <c r="K25" s="187">
        <f t="shared" si="5"/>
        <v>0</v>
      </c>
      <c r="L25" s="187">
        <f t="shared" si="5"/>
        <v>0</v>
      </c>
      <c r="M25" s="187">
        <f t="shared" si="5"/>
        <v>0</v>
      </c>
    </row>
    <row r="26" spans="1:41" ht="15" customHeight="1" x14ac:dyDescent="0.25">
      <c r="A26" s="228" t="s">
        <v>8</v>
      </c>
      <c r="B26" s="229">
        <f>'Proposta Empresa'!B9</f>
        <v>2E-3</v>
      </c>
      <c r="D26" s="354" t="s">
        <v>234</v>
      </c>
      <c r="E26" s="355"/>
      <c r="F26" s="291" t="s">
        <v>119</v>
      </c>
      <c r="G26" s="276">
        <v>16</v>
      </c>
      <c r="H26" s="276">
        <v>16</v>
      </c>
      <c r="I26" s="276">
        <v>16</v>
      </c>
      <c r="J26" s="276">
        <v>16</v>
      </c>
      <c r="K26" s="221">
        <v>0</v>
      </c>
      <c r="L26" s="221">
        <v>0</v>
      </c>
      <c r="M26" s="222">
        <v>0</v>
      </c>
    </row>
    <row r="27" spans="1:41" ht="15" customHeight="1" x14ac:dyDescent="0.25">
      <c r="A27" s="226" t="s">
        <v>9</v>
      </c>
      <c r="B27" s="227">
        <v>2.5000000000000001E-2</v>
      </c>
      <c r="D27" s="358"/>
      <c r="E27" s="359"/>
      <c r="F27" s="280" t="s">
        <v>58</v>
      </c>
      <c r="G27" s="275">
        <f t="shared" ref="G27:M27" si="6">G18*G26</f>
        <v>192.42</v>
      </c>
      <c r="H27" s="275">
        <f t="shared" si="6"/>
        <v>217.416</v>
      </c>
      <c r="I27" s="275">
        <f t="shared" si="6"/>
        <v>0</v>
      </c>
      <c r="J27" s="275">
        <f t="shared" si="6"/>
        <v>0</v>
      </c>
      <c r="K27" s="187">
        <f t="shared" si="6"/>
        <v>0</v>
      </c>
      <c r="L27" s="187">
        <f t="shared" si="6"/>
        <v>0</v>
      </c>
      <c r="M27" s="187">
        <f t="shared" si="6"/>
        <v>0</v>
      </c>
    </row>
    <row r="28" spans="1:41" ht="15" customHeight="1" x14ac:dyDescent="0.25">
      <c r="A28" s="226" t="s">
        <v>10</v>
      </c>
      <c r="B28" s="227">
        <v>0.08</v>
      </c>
      <c r="D28" s="367" t="s">
        <v>237</v>
      </c>
      <c r="E28" s="368"/>
      <c r="F28" s="291" t="s">
        <v>119</v>
      </c>
      <c r="G28" s="276">
        <v>0</v>
      </c>
      <c r="H28" s="276">
        <v>0</v>
      </c>
      <c r="I28" s="276">
        <v>0</v>
      </c>
      <c r="J28" s="276">
        <v>0</v>
      </c>
      <c r="K28" s="222">
        <v>0</v>
      </c>
      <c r="L28" s="222">
        <v>0</v>
      </c>
      <c r="M28" s="222">
        <v>0</v>
      </c>
    </row>
    <row r="29" spans="1:41" ht="15" customHeight="1" x14ac:dyDescent="0.25">
      <c r="A29" s="228" t="s">
        <v>11</v>
      </c>
      <c r="B29" s="229">
        <f>'Proposta Empresa'!B10</f>
        <v>0.02</v>
      </c>
      <c r="D29" s="369"/>
      <c r="E29" s="370"/>
      <c r="F29" s="280" t="s">
        <v>58</v>
      </c>
      <c r="G29" s="275">
        <f t="shared" ref="G29:M29" si="7">G18*G28</f>
        <v>0</v>
      </c>
      <c r="H29" s="275">
        <f t="shared" si="7"/>
        <v>0</v>
      </c>
      <c r="I29" s="275">
        <f t="shared" si="7"/>
        <v>0</v>
      </c>
      <c r="J29" s="275">
        <f t="shared" si="7"/>
        <v>0</v>
      </c>
      <c r="K29" s="187">
        <f t="shared" si="7"/>
        <v>0</v>
      </c>
      <c r="L29" s="187">
        <f t="shared" si="7"/>
        <v>0</v>
      </c>
      <c r="M29" s="187">
        <f t="shared" si="7"/>
        <v>0</v>
      </c>
    </row>
    <row r="30" spans="1:41" ht="15" customHeight="1" x14ac:dyDescent="0.25">
      <c r="A30" s="228" t="s">
        <v>12</v>
      </c>
      <c r="B30" s="229">
        <f>'Proposta Empresa'!B11</f>
        <v>6.0000000000000001E-3</v>
      </c>
      <c r="D30" s="350" t="s">
        <v>238</v>
      </c>
      <c r="E30" s="424">
        <v>0.39</v>
      </c>
      <c r="F30" s="291" t="s">
        <v>119</v>
      </c>
      <c r="G30" s="276">
        <v>0</v>
      </c>
      <c r="H30" s="276">
        <v>0</v>
      </c>
      <c r="I30" s="276">
        <v>0</v>
      </c>
      <c r="J30" s="276">
        <v>0</v>
      </c>
      <c r="K30" s="222">
        <v>0</v>
      </c>
      <c r="L30" s="222">
        <v>0</v>
      </c>
      <c r="M30" s="222">
        <v>0</v>
      </c>
    </row>
    <row r="31" spans="1:41" ht="15" customHeight="1" x14ac:dyDescent="0.25">
      <c r="A31" s="189"/>
      <c r="B31" s="230">
        <f>SUM(B23:B30)</f>
        <v>0.3580000000000001</v>
      </c>
      <c r="D31" s="351"/>
      <c r="E31" s="425"/>
      <c r="F31" s="280" t="s">
        <v>58</v>
      </c>
      <c r="G31" s="275">
        <f t="shared" ref="G31:M31" si="8">G18*G30*$E30</f>
        <v>0</v>
      </c>
      <c r="H31" s="275">
        <f t="shared" si="8"/>
        <v>0</v>
      </c>
      <c r="I31" s="275">
        <f t="shared" si="8"/>
        <v>0</v>
      </c>
      <c r="J31" s="275">
        <f t="shared" si="8"/>
        <v>0</v>
      </c>
      <c r="K31" s="187">
        <f t="shared" si="8"/>
        <v>0</v>
      </c>
      <c r="L31" s="187">
        <f t="shared" si="8"/>
        <v>0</v>
      </c>
      <c r="M31" s="187">
        <f t="shared" si="8"/>
        <v>0</v>
      </c>
    </row>
    <row r="32" spans="1:41" s="189" customFormat="1" ht="15" customHeight="1" x14ac:dyDescent="0.25">
      <c r="A32" s="217" t="s">
        <v>151</v>
      </c>
      <c r="D32" s="350" t="s">
        <v>192</v>
      </c>
      <c r="E32" s="352">
        <v>5.25</v>
      </c>
      <c r="F32" s="291" t="s">
        <v>119</v>
      </c>
      <c r="G32" s="276">
        <v>66</v>
      </c>
      <c r="H32" s="276">
        <v>66</v>
      </c>
      <c r="I32" s="276">
        <v>0</v>
      </c>
      <c r="J32" s="276">
        <v>0</v>
      </c>
      <c r="K32" s="221">
        <v>0</v>
      </c>
      <c r="L32" s="221">
        <v>0</v>
      </c>
      <c r="M32" s="222">
        <v>0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189" customFormat="1" ht="15" customHeight="1" x14ac:dyDescent="0.25">
      <c r="A33" s="231" t="str">
        <f>'Proposta Empresa'!A14</f>
        <v>PIS</v>
      </c>
      <c r="B33" s="229">
        <f>'Proposta Empresa'!B14</f>
        <v>1.6500000000000001E-2</v>
      </c>
      <c r="D33" s="351"/>
      <c r="E33" s="353"/>
      <c r="F33" s="280" t="s">
        <v>58</v>
      </c>
      <c r="G33" s="275">
        <f>$E32*G32</f>
        <v>346.5</v>
      </c>
      <c r="H33" s="275">
        <f t="shared" ref="H33:M33" si="9">$E32*H32</f>
        <v>346.5</v>
      </c>
      <c r="I33" s="275">
        <f t="shared" si="9"/>
        <v>0</v>
      </c>
      <c r="J33" s="275">
        <f t="shared" si="9"/>
        <v>0</v>
      </c>
      <c r="K33" s="187">
        <f t="shared" si="9"/>
        <v>0</v>
      </c>
      <c r="L33" s="187">
        <f t="shared" si="9"/>
        <v>0</v>
      </c>
      <c r="M33" s="187">
        <f t="shared" si="9"/>
        <v>0</v>
      </c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189" customFormat="1" ht="15" customHeight="1" x14ac:dyDescent="0.25">
      <c r="A34" s="231" t="str">
        <f>'Proposta Empresa'!A15</f>
        <v>COFINS</v>
      </c>
      <c r="B34" s="229">
        <f>'Proposta Empresa'!B15</f>
        <v>7.5999999999999998E-2</v>
      </c>
      <c r="D34" s="354" t="s">
        <v>193</v>
      </c>
      <c r="E34" s="355"/>
      <c r="F34" s="291" t="s">
        <v>119</v>
      </c>
      <c r="G34" s="276">
        <v>22</v>
      </c>
      <c r="H34" s="276">
        <v>22</v>
      </c>
      <c r="I34" s="276">
        <v>0</v>
      </c>
      <c r="J34" s="276">
        <v>0</v>
      </c>
      <c r="K34" s="221">
        <v>0</v>
      </c>
      <c r="L34" s="221">
        <v>0</v>
      </c>
      <c r="M34" s="222">
        <v>0</v>
      </c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189" customFormat="1" ht="15" customHeight="1" x14ac:dyDescent="0.25">
      <c r="A35" s="226" t="s">
        <v>290</v>
      </c>
      <c r="B35" s="227">
        <v>0.05</v>
      </c>
      <c r="D35" s="356"/>
      <c r="E35" s="357"/>
      <c r="F35" s="291" t="s">
        <v>120</v>
      </c>
      <c r="G35" s="275">
        <f>'Proposta Empresa'!G8</f>
        <v>27.24</v>
      </c>
      <c r="H35" s="275">
        <f>'Proposta Empresa'!H8</f>
        <v>27.24</v>
      </c>
      <c r="I35" s="275">
        <f>'Proposta Empresa'!I8</f>
        <v>27.24</v>
      </c>
      <c r="J35" s="275">
        <f>'Proposta Empresa'!J8</f>
        <v>27.24</v>
      </c>
      <c r="K35" s="272">
        <f>'Proposta Empresa'!K11</f>
        <v>0</v>
      </c>
      <c r="L35" s="272">
        <f>'Proposta Empresa'!L11</f>
        <v>0</v>
      </c>
      <c r="M35" s="272">
        <f>'Proposta Empresa'!M11</f>
        <v>0</v>
      </c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s="189" customFormat="1" ht="15" customHeight="1" x14ac:dyDescent="0.25">
      <c r="B36" s="230">
        <f>SUM(B33:B35)</f>
        <v>0.14250000000000002</v>
      </c>
      <c r="D36" s="356"/>
      <c r="E36" s="357"/>
      <c r="F36" s="291" t="s">
        <v>292</v>
      </c>
      <c r="G36" s="281">
        <v>0.2</v>
      </c>
      <c r="H36" s="281">
        <v>0.2</v>
      </c>
      <c r="I36" s="281">
        <v>0.2</v>
      </c>
      <c r="J36" s="281">
        <v>0.2</v>
      </c>
      <c r="K36" s="232">
        <v>0.2</v>
      </c>
      <c r="L36" s="232">
        <v>0.2</v>
      </c>
      <c r="M36" s="232">
        <v>0.2</v>
      </c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s="189" customFormat="1" ht="15" customHeight="1" x14ac:dyDescent="0.25">
      <c r="A37" s="217" t="s">
        <v>269</v>
      </c>
      <c r="D37" s="358"/>
      <c r="E37" s="359"/>
      <c r="F37" s="280" t="s">
        <v>58</v>
      </c>
      <c r="G37" s="275">
        <f>G34*G35</f>
        <v>599.28</v>
      </c>
      <c r="H37" s="275">
        <f t="shared" ref="H37:M37" si="10">H34*H35</f>
        <v>599.28</v>
      </c>
      <c r="I37" s="275">
        <f t="shared" si="10"/>
        <v>0</v>
      </c>
      <c r="J37" s="275">
        <f t="shared" si="10"/>
        <v>0</v>
      </c>
      <c r="K37" s="187">
        <f t="shared" si="10"/>
        <v>0</v>
      </c>
      <c r="L37" s="187">
        <f t="shared" si="10"/>
        <v>0</v>
      </c>
      <c r="M37" s="187">
        <f t="shared" si="10"/>
        <v>0</v>
      </c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s="189" customFormat="1" ht="15" customHeight="1" x14ac:dyDescent="0.25">
      <c r="A38" s="228" t="s">
        <v>271</v>
      </c>
      <c r="B38" s="229">
        <f>'Proposta Empresa'!B21</f>
        <v>0</v>
      </c>
      <c r="D38" s="361" t="s">
        <v>194</v>
      </c>
      <c r="E38" s="362"/>
      <c r="F38" s="280" t="s">
        <v>119</v>
      </c>
      <c r="G38" s="282">
        <v>1</v>
      </c>
      <c r="H38" s="282">
        <v>1</v>
      </c>
      <c r="I38" s="282">
        <v>1</v>
      </c>
      <c r="J38" s="282">
        <v>1</v>
      </c>
      <c r="K38" s="233">
        <v>0</v>
      </c>
      <c r="L38" s="233">
        <v>0</v>
      </c>
      <c r="M38" s="234">
        <v>0</v>
      </c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s="189" customFormat="1" ht="15" customHeight="1" x14ac:dyDescent="0.25">
      <c r="D39" s="363"/>
      <c r="E39" s="364"/>
      <c r="F39" s="280" t="s">
        <v>120</v>
      </c>
      <c r="G39" s="272">
        <f>(557.9+576.21)/2</f>
        <v>567.05500000000006</v>
      </c>
      <c r="H39" s="272">
        <v>0</v>
      </c>
      <c r="I39" s="272">
        <v>0</v>
      </c>
      <c r="J39" s="272">
        <v>565.80999999999995</v>
      </c>
      <c r="K39" s="235">
        <v>440.24</v>
      </c>
      <c r="L39" s="235">
        <v>440.24</v>
      </c>
      <c r="M39" s="216">
        <v>0</v>
      </c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  <row r="40" spans="1:41" s="189" customFormat="1" ht="15" customHeight="1" x14ac:dyDescent="0.25">
      <c r="A40" s="236" t="s">
        <v>216</v>
      </c>
      <c r="B40" s="237"/>
      <c r="D40" s="363"/>
      <c r="E40" s="364"/>
      <c r="F40" s="280" t="s">
        <v>121</v>
      </c>
      <c r="G40" s="275">
        <f t="shared" ref="G40:M40" si="11">G39*G38</f>
        <v>567.05500000000006</v>
      </c>
      <c r="H40" s="275">
        <f t="shared" si="11"/>
        <v>0</v>
      </c>
      <c r="I40" s="275">
        <f t="shared" si="11"/>
        <v>0</v>
      </c>
      <c r="J40" s="275">
        <f t="shared" si="11"/>
        <v>565.80999999999995</v>
      </c>
      <c r="K40" s="187">
        <f t="shared" si="11"/>
        <v>0</v>
      </c>
      <c r="L40" s="187">
        <f t="shared" si="11"/>
        <v>0</v>
      </c>
      <c r="M40" s="187">
        <f t="shared" si="11"/>
        <v>0</v>
      </c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s="189" customFormat="1" ht="15" customHeight="1" x14ac:dyDescent="0.25">
      <c r="D41" s="365"/>
      <c r="E41" s="366"/>
      <c r="F41" s="280" t="s">
        <v>58</v>
      </c>
      <c r="G41" s="275">
        <f t="shared" ref="G41:M41" si="12">G40/$B$8</f>
        <v>47.254583333333336</v>
      </c>
      <c r="H41" s="275">
        <f t="shared" si="12"/>
        <v>0</v>
      </c>
      <c r="I41" s="275">
        <f t="shared" si="12"/>
        <v>0</v>
      </c>
      <c r="J41" s="275">
        <f t="shared" si="12"/>
        <v>47.150833333333331</v>
      </c>
      <c r="K41" s="187">
        <f t="shared" si="12"/>
        <v>0</v>
      </c>
      <c r="L41" s="187">
        <f t="shared" si="12"/>
        <v>0</v>
      </c>
      <c r="M41" s="187">
        <f t="shared" si="12"/>
        <v>0</v>
      </c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s="189" customFormat="1" ht="15" customHeight="1" x14ac:dyDescent="0.25">
      <c r="A42" s="157" t="s">
        <v>199</v>
      </c>
      <c r="B42" s="238">
        <f>SUM(G14:M14)</f>
        <v>9</v>
      </c>
      <c r="D42" s="344" t="str">
        <f>'Proposta Empresa'!D9:D9</f>
        <v>PAF (CCT2024, Cláus. 14ª, §4º)</v>
      </c>
      <c r="E42" s="342">
        <f>'Proposta Empresa'!E9:E9</f>
        <v>87.18</v>
      </c>
      <c r="F42" s="291" t="s">
        <v>119</v>
      </c>
      <c r="G42" s="283">
        <f>'Proposta Empresa'!G9</f>
        <v>1</v>
      </c>
      <c r="H42" s="283">
        <f>'Proposta Empresa'!H9</f>
        <v>1</v>
      </c>
      <c r="I42" s="283">
        <v>0</v>
      </c>
      <c r="J42" s="283">
        <v>0</v>
      </c>
      <c r="K42" s="221">
        <v>0</v>
      </c>
      <c r="L42" s="221">
        <v>0</v>
      </c>
      <c r="M42" s="222">
        <v>0</v>
      </c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s="189" customFormat="1" ht="15" customHeight="1" x14ac:dyDescent="0.25">
      <c r="A43" s="157" t="s">
        <v>214</v>
      </c>
      <c r="B43" s="239">
        <f>SUM(G58:M58)</f>
        <v>59785.454802800115</v>
      </c>
      <c r="D43" s="345"/>
      <c r="E43" s="343"/>
      <c r="F43" s="280" t="s">
        <v>58</v>
      </c>
      <c r="G43" s="275">
        <f t="shared" ref="G43:M43" si="13">$E42*G42</f>
        <v>87.18</v>
      </c>
      <c r="H43" s="275">
        <f t="shared" si="13"/>
        <v>87.18</v>
      </c>
      <c r="I43" s="275">
        <f t="shared" si="13"/>
        <v>0</v>
      </c>
      <c r="J43" s="275">
        <f t="shared" si="13"/>
        <v>0</v>
      </c>
      <c r="K43" s="187">
        <f t="shared" si="13"/>
        <v>0</v>
      </c>
      <c r="L43" s="187">
        <f t="shared" si="13"/>
        <v>0</v>
      </c>
      <c r="M43" s="187">
        <f t="shared" si="13"/>
        <v>0</v>
      </c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s="189" customFormat="1" ht="15" customHeight="1" x14ac:dyDescent="0.25">
      <c r="A44" s="157" t="s">
        <v>215</v>
      </c>
      <c r="B44" s="240">
        <f>B43*B8</f>
        <v>717425.45763360139</v>
      </c>
      <c r="D44" s="344" t="str">
        <f>'Proposta Empresa'!D11:D11</f>
        <v>Contr. Ass. Patronal (CCT2024, Cláus. 55ª, caput)</v>
      </c>
      <c r="E44" s="342">
        <f>'Proposta Empresa'!E11:E11</f>
        <v>10.45</v>
      </c>
      <c r="F44" s="291" t="s">
        <v>119</v>
      </c>
      <c r="G44" s="283">
        <f>'Proposta Empresa'!G11</f>
        <v>12</v>
      </c>
      <c r="H44" s="283">
        <f>'Proposta Empresa'!H11</f>
        <v>12</v>
      </c>
      <c r="I44" s="283">
        <v>0</v>
      </c>
      <c r="J44" s="283">
        <v>0</v>
      </c>
      <c r="K44" s="221">
        <v>0</v>
      </c>
      <c r="L44" s="221">
        <v>0</v>
      </c>
      <c r="M44" s="222">
        <v>0</v>
      </c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s="189" customFormat="1" ht="15" customHeight="1" x14ac:dyDescent="0.25">
      <c r="A45" s="157"/>
      <c r="B45" s="240"/>
      <c r="D45" s="345"/>
      <c r="E45" s="343"/>
      <c r="F45" s="280" t="s">
        <v>58</v>
      </c>
      <c r="G45" s="275">
        <f t="shared" ref="G45:M45" si="14">IF(G44&gt;0,$E44/G44,0)</f>
        <v>0.87083333333333324</v>
      </c>
      <c r="H45" s="275">
        <f t="shared" si="14"/>
        <v>0.87083333333333324</v>
      </c>
      <c r="I45" s="275">
        <f t="shared" si="14"/>
        <v>0</v>
      </c>
      <c r="J45" s="275">
        <f t="shared" si="14"/>
        <v>0</v>
      </c>
      <c r="K45" s="241">
        <f t="shared" si="14"/>
        <v>0</v>
      </c>
      <c r="L45" s="241">
        <f t="shared" si="14"/>
        <v>0</v>
      </c>
      <c r="M45" s="241">
        <f t="shared" si="14"/>
        <v>0</v>
      </c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</row>
    <row r="46" spans="1:41" s="189" customFormat="1" ht="15" customHeight="1" x14ac:dyDescent="0.25">
      <c r="A46" s="157"/>
      <c r="B46" s="239"/>
      <c r="D46" s="344" t="str">
        <f>'Proposta Empresa'!D13:D13</f>
        <v>Outros custos ou benefícios da CCT</v>
      </c>
      <c r="E46" s="342">
        <f>'Proposta Empresa'!E13:E13</f>
        <v>0</v>
      </c>
      <c r="F46" s="291" t="s">
        <v>119</v>
      </c>
      <c r="G46" s="283">
        <f>'Proposta Empresa'!G13</f>
        <v>0</v>
      </c>
      <c r="H46" s="283">
        <f>'Proposta Empresa'!H13</f>
        <v>0</v>
      </c>
      <c r="I46" s="283">
        <f>'Proposta Empresa'!I13</f>
        <v>0</v>
      </c>
      <c r="J46" s="283">
        <f>'Proposta Empresa'!J13</f>
        <v>0</v>
      </c>
      <c r="K46" s="222">
        <v>0</v>
      </c>
      <c r="L46" s="222">
        <v>0</v>
      </c>
      <c r="M46" s="222">
        <v>0</v>
      </c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s="189" customFormat="1" ht="15" customHeight="1" x14ac:dyDescent="0.25">
      <c r="A47" s="157"/>
      <c r="B47" s="239"/>
      <c r="D47" s="345"/>
      <c r="E47" s="343"/>
      <c r="F47" s="280" t="s">
        <v>58</v>
      </c>
      <c r="G47" s="275">
        <f t="shared" ref="G47:M47" si="15">$E46*G46</f>
        <v>0</v>
      </c>
      <c r="H47" s="275">
        <f t="shared" si="15"/>
        <v>0</v>
      </c>
      <c r="I47" s="275">
        <f t="shared" si="15"/>
        <v>0</v>
      </c>
      <c r="J47" s="275">
        <f t="shared" si="15"/>
        <v>0</v>
      </c>
      <c r="K47" s="187">
        <f t="shared" si="15"/>
        <v>0</v>
      </c>
      <c r="L47" s="187">
        <f t="shared" si="15"/>
        <v>0</v>
      </c>
      <c r="M47" s="187">
        <f t="shared" si="15"/>
        <v>0</v>
      </c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s="189" customFormat="1" ht="15" customHeight="1" x14ac:dyDescent="0.25">
      <c r="A48" s="157"/>
      <c r="B48" s="239"/>
      <c r="D48" s="344" t="str">
        <f>'Proposta Empresa'!D15:D15</f>
        <v>Outros custos ou benefícios da CCT</v>
      </c>
      <c r="E48" s="342">
        <f>'Proposta Empresa'!E15:E15</f>
        <v>0</v>
      </c>
      <c r="F48" s="291" t="s">
        <v>119</v>
      </c>
      <c r="G48" s="283">
        <f>'Proposta Empresa'!G15</f>
        <v>0</v>
      </c>
      <c r="H48" s="283">
        <f>'Proposta Empresa'!H15</f>
        <v>0</v>
      </c>
      <c r="I48" s="283">
        <f>'Proposta Empresa'!I15</f>
        <v>0</v>
      </c>
      <c r="J48" s="283">
        <f>'Proposta Empresa'!J15</f>
        <v>0</v>
      </c>
      <c r="K48" s="222">
        <v>0</v>
      </c>
      <c r="L48" s="222">
        <v>0</v>
      </c>
      <c r="M48" s="222">
        <v>0</v>
      </c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s="189" customFormat="1" ht="15" customHeight="1" x14ac:dyDescent="0.25">
      <c r="A49" s="157"/>
      <c r="B49" s="239"/>
      <c r="D49" s="345"/>
      <c r="E49" s="343"/>
      <c r="F49" s="280" t="s">
        <v>58</v>
      </c>
      <c r="G49" s="275">
        <f t="shared" ref="G49:M49" si="16">$E48*G48</f>
        <v>0</v>
      </c>
      <c r="H49" s="275">
        <f t="shared" si="16"/>
        <v>0</v>
      </c>
      <c r="I49" s="275">
        <f t="shared" si="16"/>
        <v>0</v>
      </c>
      <c r="J49" s="275">
        <f t="shared" si="16"/>
        <v>0</v>
      </c>
      <c r="K49" s="187">
        <f t="shared" si="16"/>
        <v>0</v>
      </c>
      <c r="L49" s="187">
        <f t="shared" si="16"/>
        <v>0</v>
      </c>
      <c r="M49" s="187">
        <f t="shared" si="16"/>
        <v>0</v>
      </c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s="189" customFormat="1" ht="15" customHeight="1" x14ac:dyDescent="0.25">
      <c r="A50" s="157"/>
      <c r="D50" s="344" t="str">
        <f>'Proposta Empresa'!D17</f>
        <v>Outros custos ou benefícios da CCT</v>
      </c>
      <c r="E50" s="340">
        <f>'Proposta Empresa'!E17</f>
        <v>0</v>
      </c>
      <c r="F50" s="291" t="s">
        <v>119</v>
      </c>
      <c r="G50" s="283">
        <f>'Proposta Empresa'!G17</f>
        <v>0</v>
      </c>
      <c r="H50" s="283">
        <f>'Proposta Empresa'!H17</f>
        <v>0</v>
      </c>
      <c r="I50" s="283">
        <f>'Proposta Empresa'!I17</f>
        <v>0</v>
      </c>
      <c r="J50" s="283">
        <f>'Proposta Empresa'!J17</f>
        <v>0</v>
      </c>
      <c r="K50" s="242">
        <f>'Proposta Empresa'!K8</f>
        <v>0</v>
      </c>
      <c r="L50" s="242">
        <f>'Proposta Empresa'!L8</f>
        <v>0</v>
      </c>
      <c r="M50" s="242">
        <f>'Proposta Empresa'!M8</f>
        <v>0</v>
      </c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s="189" customFormat="1" ht="15" customHeight="1" x14ac:dyDescent="0.25">
      <c r="A51" s="157"/>
      <c r="B51" s="243"/>
      <c r="D51" s="345"/>
      <c r="E51" s="341"/>
      <c r="F51" s="280" t="s">
        <v>58</v>
      </c>
      <c r="G51" s="275">
        <f>'Proposta Empresa'!G18</f>
        <v>0</v>
      </c>
      <c r="H51" s="275">
        <f>'Proposta Empresa'!H18</f>
        <v>0</v>
      </c>
      <c r="I51" s="275">
        <f>'Proposta Empresa'!I18</f>
        <v>0</v>
      </c>
      <c r="J51" s="275">
        <f>'Proposta Empresa'!J18</f>
        <v>0</v>
      </c>
      <c r="K51" s="187">
        <f>'Proposta Empresa'!K9</f>
        <v>0</v>
      </c>
      <c r="L51" s="187">
        <f>'Proposta Empresa'!L9</f>
        <v>0</v>
      </c>
      <c r="M51" s="187">
        <f>'Proposta Empresa'!M9</f>
        <v>0</v>
      </c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41" s="189" customFormat="1" ht="15" customHeight="1" x14ac:dyDescent="0.25">
      <c r="A52" s="157"/>
      <c r="D52" s="344" t="str">
        <f>'Proposta Empresa'!D19</f>
        <v>Outros custos ou benefícios da CCT</v>
      </c>
      <c r="E52" s="340">
        <f>'Proposta Empresa'!E19</f>
        <v>0</v>
      </c>
      <c r="F52" s="291" t="s">
        <v>119</v>
      </c>
      <c r="G52" s="283">
        <f>'Proposta Empresa'!G19</f>
        <v>0</v>
      </c>
      <c r="H52" s="283">
        <f>'Proposta Empresa'!H19</f>
        <v>0</v>
      </c>
      <c r="I52" s="283">
        <f>'Proposta Empresa'!I19</f>
        <v>0</v>
      </c>
      <c r="J52" s="283">
        <f>'Proposta Empresa'!J19</f>
        <v>0</v>
      </c>
      <c r="K52" s="242">
        <f>'Proposta Empresa'!K10</f>
        <v>0</v>
      </c>
      <c r="L52" s="242">
        <f>'Proposta Empresa'!L10</f>
        <v>0</v>
      </c>
      <c r="M52" s="242">
        <f>'Proposta Empresa'!M10</f>
        <v>0</v>
      </c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41" s="189" customFormat="1" ht="15" customHeight="1" x14ac:dyDescent="0.25">
      <c r="D53" s="345"/>
      <c r="E53" s="341"/>
      <c r="F53" s="280" t="s">
        <v>58</v>
      </c>
      <c r="G53" s="275">
        <f>'Proposta Empresa'!G20</f>
        <v>0</v>
      </c>
      <c r="H53" s="275">
        <f>'Proposta Empresa'!H20</f>
        <v>0</v>
      </c>
      <c r="I53" s="275">
        <f>'Proposta Empresa'!I20</f>
        <v>0</v>
      </c>
      <c r="J53" s="275">
        <f>'Proposta Empresa'!J20</f>
        <v>0</v>
      </c>
      <c r="K53" s="187">
        <f>'Proposta Empresa'!K11</f>
        <v>0</v>
      </c>
      <c r="L53" s="187">
        <f>'Proposta Empresa'!L11</f>
        <v>0</v>
      </c>
      <c r="M53" s="187">
        <f>'Proposta Empresa'!M11</f>
        <v>0</v>
      </c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41" s="189" customFormat="1" ht="15" customHeight="1" x14ac:dyDescent="0.25">
      <c r="D54" s="344" t="str">
        <f>'Proposta Empresa'!D21</f>
        <v>Outros custos ou benefícios da CCT</v>
      </c>
      <c r="E54" s="340">
        <f>'Proposta Empresa'!E21</f>
        <v>0</v>
      </c>
      <c r="F54" s="291" t="s">
        <v>119</v>
      </c>
      <c r="G54" s="283">
        <f>'Proposta Empresa'!G21</f>
        <v>0</v>
      </c>
      <c r="H54" s="283">
        <f>'Proposta Empresa'!H21</f>
        <v>0</v>
      </c>
      <c r="I54" s="283">
        <f>'Proposta Empresa'!I21</f>
        <v>0</v>
      </c>
      <c r="J54" s="283">
        <f>'Proposta Empresa'!J21</f>
        <v>0</v>
      </c>
      <c r="K54" s="242">
        <f>'Proposta Empresa'!K12</f>
        <v>0</v>
      </c>
      <c r="L54" s="242">
        <f>'Proposta Empresa'!L12</f>
        <v>0</v>
      </c>
      <c r="M54" s="242">
        <f>'Proposta Empresa'!M12</f>
        <v>0</v>
      </c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41" s="189" customFormat="1" ht="15" customHeight="1" x14ac:dyDescent="0.25">
      <c r="D55" s="345"/>
      <c r="E55" s="341"/>
      <c r="F55" s="280" t="s">
        <v>58</v>
      </c>
      <c r="G55" s="275">
        <f>'Proposta Empresa'!G22</f>
        <v>0</v>
      </c>
      <c r="H55" s="275">
        <f>'Proposta Empresa'!H22</f>
        <v>0</v>
      </c>
      <c r="I55" s="275">
        <f>'Proposta Empresa'!I22</f>
        <v>0</v>
      </c>
      <c r="J55" s="275">
        <f>'Proposta Empresa'!J22</f>
        <v>0</v>
      </c>
      <c r="K55" s="187">
        <f>'Proposta Empresa'!K13</f>
        <v>0</v>
      </c>
      <c r="L55" s="187">
        <f>'Proposta Empresa'!L13</f>
        <v>0</v>
      </c>
      <c r="M55" s="187">
        <f>'Proposta Empresa'!M13</f>
        <v>0</v>
      </c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41" s="189" customFormat="1" ht="15" customHeight="1" x14ac:dyDescent="0.25">
      <c r="D56" s="339" t="s">
        <v>283</v>
      </c>
      <c r="E56" s="339"/>
      <c r="F56" s="339"/>
      <c r="G56" s="270">
        <f>'1'!$F$66</f>
        <v>0</v>
      </c>
      <c r="H56" s="270">
        <f>'2'!$F$66</f>
        <v>0</v>
      </c>
      <c r="I56" s="270">
        <f>'3'!$F$66</f>
        <v>0</v>
      </c>
      <c r="J56" s="270">
        <f>'4'!$F$66</f>
        <v>0</v>
      </c>
      <c r="K56" s="244">
        <f>'5'!$F$66</f>
        <v>0</v>
      </c>
      <c r="L56" s="244">
        <f>'6'!$F$66</f>
        <v>0</v>
      </c>
      <c r="M56" s="244">
        <f>'7'!$F$66</f>
        <v>0</v>
      </c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</row>
    <row r="57" spans="1:41" s="189" customFormat="1" ht="15" customHeight="1" x14ac:dyDescent="0.25">
      <c r="D57" s="339" t="s">
        <v>125</v>
      </c>
      <c r="E57" s="339"/>
      <c r="F57" s="339"/>
      <c r="G57" s="270">
        <f>'1'!$F$79</f>
        <v>6383.4225710073479</v>
      </c>
      <c r="H57" s="270">
        <f>'2'!$F$79</f>
        <v>7550.7484028743402</v>
      </c>
      <c r="I57" s="270">
        <f>'3'!$F$79</f>
        <v>0</v>
      </c>
      <c r="J57" s="270">
        <f>'4'!$F$79</f>
        <v>54.986394557823132</v>
      </c>
      <c r="K57" s="244">
        <f>'5'!$F$79</f>
        <v>0</v>
      </c>
      <c r="L57" s="244">
        <f>'6'!$F$79</f>
        <v>0</v>
      </c>
      <c r="M57" s="244">
        <f>'7'!$F$79</f>
        <v>0</v>
      </c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</row>
    <row r="58" spans="1:41" s="189" customFormat="1" ht="15" customHeight="1" x14ac:dyDescent="0.25">
      <c r="D58" s="339" t="s">
        <v>306</v>
      </c>
      <c r="E58" s="339"/>
      <c r="F58" s="339"/>
      <c r="G58" s="270">
        <f>'1'!$F$83</f>
        <v>44683.957997051431</v>
      </c>
      <c r="H58" s="270">
        <f>'2'!$F$83</f>
        <v>15101.49680574868</v>
      </c>
      <c r="I58" s="270">
        <f>'3'!$F$83</f>
        <v>0</v>
      </c>
      <c r="J58" s="270">
        <f>'4'!$F$83</f>
        <v>0</v>
      </c>
      <c r="K58" s="244">
        <f>'5'!$F$83</f>
        <v>0</v>
      </c>
      <c r="L58" s="244">
        <f>'6'!$F$83</f>
        <v>0</v>
      </c>
      <c r="M58" s="244">
        <f>'7'!$F$83</f>
        <v>0</v>
      </c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</row>
    <row r="59" spans="1:41" s="189" customFormat="1" ht="15" customHeight="1" x14ac:dyDescent="0.25">
      <c r="D59" s="360" t="s">
        <v>190</v>
      </c>
      <c r="E59" s="360"/>
      <c r="F59" s="360"/>
      <c r="G59" s="284">
        <f>'1'!$F$86</f>
        <v>536207.49596461724</v>
      </c>
      <c r="H59" s="284">
        <f>'2'!$F$86</f>
        <v>181217.96166898415</v>
      </c>
      <c r="I59" s="284">
        <f>'3'!$F$86</f>
        <v>0</v>
      </c>
      <c r="J59" s="284">
        <f>'4'!$F$86</f>
        <v>0</v>
      </c>
      <c r="K59" s="245">
        <f>'5'!$F$86</f>
        <v>0</v>
      </c>
      <c r="L59" s="245">
        <f>'6'!$F$86</f>
        <v>0</v>
      </c>
      <c r="M59" s="245">
        <f>'7'!$F$86</f>
        <v>0</v>
      </c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s="189" customFormat="1" ht="15" customHeight="1" x14ac:dyDescent="0.25"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</row>
    <row r="61" spans="1:41" s="189" customFormat="1" ht="15" customHeight="1" x14ac:dyDescent="0.25"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</row>
    <row r="62" spans="1:41" s="189" customFormat="1" ht="15" customHeight="1" x14ac:dyDescent="0.25"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</row>
    <row r="63" spans="1:41" s="189" customFormat="1" ht="15" customHeight="1" x14ac:dyDescent="0.25"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</row>
    <row r="64" spans="1:41" s="189" customFormat="1" ht="15" customHeight="1" x14ac:dyDescent="0.25">
      <c r="A64" s="182"/>
      <c r="I64" s="243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</row>
    <row r="65" spans="1:41" s="189" customFormat="1" ht="15" customHeight="1" x14ac:dyDescent="0.25">
      <c r="A65" s="194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</row>
    <row r="66" spans="1:41" s="189" customFormat="1" ht="15" customHeight="1" x14ac:dyDescent="0.25">
      <c r="A66" s="194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</row>
    <row r="67" spans="1:41" s="189" customFormat="1" ht="19.5" customHeight="1" x14ac:dyDescent="0.25"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</row>
    <row r="68" spans="1:41" s="189" customFormat="1" ht="19.5" customHeight="1" x14ac:dyDescent="0.25">
      <c r="A68" s="182"/>
      <c r="B68" s="182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</row>
    <row r="69" spans="1:41" s="189" customFormat="1" ht="19.5" customHeight="1" x14ac:dyDescent="0.25">
      <c r="A69" s="182"/>
      <c r="B69" s="182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</row>
    <row r="70" spans="1:41" s="189" customFormat="1" ht="19.5" customHeight="1" x14ac:dyDescent="0.25">
      <c r="A70" s="182"/>
      <c r="B70" s="182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</row>
    <row r="71" spans="1:41" s="189" customFormat="1" ht="19.5" customHeight="1" x14ac:dyDescent="0.25">
      <c r="A71" s="182"/>
      <c r="B71" s="182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</row>
    <row r="72" spans="1:41" s="194" customFormat="1" ht="15" customHeight="1" x14ac:dyDescent="0.25">
      <c r="A72" s="182"/>
      <c r="B72" s="18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</row>
    <row r="73" spans="1:41" s="194" customFormat="1" ht="15" customHeight="1" x14ac:dyDescent="0.25">
      <c r="A73" s="182"/>
      <c r="B73" s="240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1:41" s="194" customFormat="1" ht="15" customHeight="1" x14ac:dyDescent="0.25">
      <c r="A74" s="182"/>
      <c r="B74" s="240"/>
      <c r="D74" s="189"/>
      <c r="E74" s="189"/>
      <c r="F74" s="189"/>
      <c r="G74" s="189"/>
      <c r="H74" s="189"/>
      <c r="I74" s="189"/>
      <c r="J74" s="189"/>
      <c r="K74" s="189"/>
      <c r="L74" s="189"/>
      <c r="M74" s="189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</row>
    <row r="75" spans="1:41" s="189" customFormat="1" ht="15" customHeight="1" x14ac:dyDescent="0.25">
      <c r="A75" s="182"/>
      <c r="B75" s="240"/>
      <c r="D75" s="182"/>
      <c r="E75" s="182"/>
      <c r="F75" s="182"/>
      <c r="G75" s="182"/>
      <c r="H75" s="182"/>
      <c r="I75" s="183"/>
      <c r="J75" s="182"/>
      <c r="K75" s="182"/>
      <c r="L75" s="182"/>
      <c r="M75" s="182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</row>
    <row r="80" spans="1:41" ht="15" customHeight="1" x14ac:dyDescent="0.25">
      <c r="I80" s="182"/>
    </row>
    <row r="81" spans="9:12" ht="15" customHeight="1" x14ac:dyDescent="0.25">
      <c r="I81" s="182"/>
    </row>
    <row r="82" spans="9:12" ht="15" customHeight="1" x14ac:dyDescent="0.25">
      <c r="I82" s="182"/>
    </row>
    <row r="83" spans="9:12" ht="15" customHeight="1" x14ac:dyDescent="0.25">
      <c r="I83" s="182"/>
    </row>
    <row r="84" spans="9:12" ht="15" customHeight="1" x14ac:dyDescent="0.25">
      <c r="I84" s="182"/>
    </row>
    <row r="85" spans="9:12" ht="15" customHeight="1" x14ac:dyDescent="0.25">
      <c r="I85" s="182"/>
    </row>
    <row r="86" spans="9:12" ht="15" customHeight="1" x14ac:dyDescent="0.25">
      <c r="I86" s="182"/>
    </row>
    <row r="87" spans="9:12" ht="15" customHeight="1" x14ac:dyDescent="0.25">
      <c r="I87" s="182"/>
    </row>
    <row r="88" spans="9:12" ht="15" customHeight="1" x14ac:dyDescent="0.25">
      <c r="I88" s="182"/>
    </row>
    <row r="89" spans="9:12" ht="15" customHeight="1" x14ac:dyDescent="0.25">
      <c r="I89" s="189"/>
      <c r="J89" s="189"/>
      <c r="K89" s="189"/>
      <c r="L89" s="189"/>
    </row>
    <row r="90" spans="9:12" ht="15" customHeight="1" x14ac:dyDescent="0.25">
      <c r="I90" s="182"/>
    </row>
    <row r="91" spans="9:12" ht="15" customHeight="1" x14ac:dyDescent="0.25">
      <c r="I91" s="182"/>
    </row>
    <row r="92" spans="9:12" ht="15" customHeight="1" x14ac:dyDescent="0.25">
      <c r="I92" s="182"/>
    </row>
    <row r="93" spans="9:12" ht="15" customHeight="1" x14ac:dyDescent="0.25">
      <c r="I93" s="182"/>
    </row>
    <row r="94" spans="9:12" ht="15" customHeight="1" x14ac:dyDescent="0.25">
      <c r="I94" s="182"/>
    </row>
    <row r="95" spans="9:12" ht="15" customHeight="1" x14ac:dyDescent="0.25">
      <c r="I95" s="182"/>
    </row>
  </sheetData>
  <sheetProtection algorithmName="SHA-512" hashValue="QSkGAF9k3XkLCS0w6ZofZ0evHUQzLHo+zdojyuedyTzG9o8DvSl5sm0tzK1NDaskbsKxBMFcsYoFrjKpuQGbqA==" saltValue="4dpvnuaFdtZ5Yo/jFZBvZg==" spinCount="100000" sheet="1" objects="1" scenarios="1"/>
  <mergeCells count="45">
    <mergeCell ref="D10:F10"/>
    <mergeCell ref="D59:F59"/>
    <mergeCell ref="D38:E41"/>
    <mergeCell ref="D58:F58"/>
    <mergeCell ref="D14:F14"/>
    <mergeCell ref="D28:E29"/>
    <mergeCell ref="D44:D45"/>
    <mergeCell ref="D46:D47"/>
    <mergeCell ref="E52:E53"/>
    <mergeCell ref="D18:F18"/>
    <mergeCell ref="E46:E47"/>
    <mergeCell ref="D22:E23"/>
    <mergeCell ref="D19:E21"/>
    <mergeCell ref="E42:E43"/>
    <mergeCell ref="D26:E27"/>
    <mergeCell ref="D24:E25"/>
    <mergeCell ref="D15:F15"/>
    <mergeCell ref="D57:F57"/>
    <mergeCell ref="E44:E45"/>
    <mergeCell ref="D30:D31"/>
    <mergeCell ref="D54:D55"/>
    <mergeCell ref="E32:E33"/>
    <mergeCell ref="D34:E37"/>
    <mergeCell ref="E30:E31"/>
    <mergeCell ref="D48:D49"/>
    <mergeCell ref="D32:D33"/>
    <mergeCell ref="D17:F17"/>
    <mergeCell ref="D16:F16"/>
    <mergeCell ref="D42:D43"/>
    <mergeCell ref="A3:J3"/>
    <mergeCell ref="A2:J2"/>
    <mergeCell ref="A1:J1"/>
    <mergeCell ref="D56:F56"/>
    <mergeCell ref="E50:E51"/>
    <mergeCell ref="E48:E49"/>
    <mergeCell ref="D52:D53"/>
    <mergeCell ref="D50:D51"/>
    <mergeCell ref="E54:E55"/>
    <mergeCell ref="D5:F6"/>
    <mergeCell ref="D13:F13"/>
    <mergeCell ref="D11:F12"/>
    <mergeCell ref="A5:B6"/>
    <mergeCell ref="D9:F9"/>
    <mergeCell ref="D7:F7"/>
    <mergeCell ref="D8:F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100"/>
  <sheetViews>
    <sheetView zoomScaleNormal="100" workbookViewId="0">
      <selection activeCell="C30" sqref="C30"/>
    </sheetView>
  </sheetViews>
  <sheetFormatPr defaultRowHeight="15" x14ac:dyDescent="0.25"/>
  <cols>
    <col min="1" max="1" width="24.7109375" style="151" customWidth="1"/>
    <col min="2" max="2" width="36.42578125" style="151" customWidth="1"/>
    <col min="3" max="3" width="45.85546875" customWidth="1"/>
    <col min="4" max="4" width="7.28515625" style="151" customWidth="1"/>
    <col min="5" max="5" width="28" style="285" customWidth="1"/>
    <col min="6" max="26" width="8.85546875" style="285"/>
  </cols>
  <sheetData>
    <row r="1" spans="1:4" s="285" customFormat="1" ht="21" x14ac:dyDescent="0.35">
      <c r="A1" s="381" t="s">
        <v>311</v>
      </c>
      <c r="B1" s="381"/>
      <c r="C1" s="381"/>
      <c r="D1" s="381"/>
    </row>
    <row r="2" spans="1:4" s="285" customFormat="1" ht="15.75" x14ac:dyDescent="0.25">
      <c r="A2" s="382"/>
      <c r="B2" s="382"/>
      <c r="C2" s="382"/>
      <c r="D2" s="382"/>
    </row>
    <row r="3" spans="1:4" s="285" customFormat="1" x14ac:dyDescent="0.25">
      <c r="A3" s="286"/>
      <c r="B3" s="286"/>
      <c r="D3" s="286"/>
    </row>
    <row r="4" spans="1:4" s="285" customFormat="1" ht="18.75" x14ac:dyDescent="0.3">
      <c r="A4" s="383" t="s">
        <v>185</v>
      </c>
      <c r="B4" s="383"/>
      <c r="C4" s="383"/>
      <c r="D4" s="383"/>
    </row>
    <row r="5" spans="1:4" x14ac:dyDescent="0.25">
      <c r="A5" s="384" t="s">
        <v>183</v>
      </c>
      <c r="B5" s="385"/>
      <c r="C5" s="385"/>
      <c r="D5" s="386"/>
    </row>
    <row r="6" spans="1:4" x14ac:dyDescent="0.25">
      <c r="A6" s="378" t="s">
        <v>236</v>
      </c>
      <c r="B6" s="387" t="s">
        <v>167</v>
      </c>
      <c r="C6" s="152" t="s">
        <v>168</v>
      </c>
      <c r="D6" s="153">
        <v>10</v>
      </c>
    </row>
    <row r="7" spans="1:4" x14ac:dyDescent="0.25">
      <c r="A7" s="379"/>
      <c r="B7" s="387"/>
      <c r="C7" s="152" t="s">
        <v>169</v>
      </c>
      <c r="D7" s="153">
        <v>50</v>
      </c>
    </row>
    <row r="8" spans="1:4" x14ac:dyDescent="0.25">
      <c r="A8" s="379"/>
      <c r="B8" s="387"/>
      <c r="C8" s="152" t="s">
        <v>170</v>
      </c>
      <c r="D8" s="153">
        <v>44</v>
      </c>
    </row>
    <row r="9" spans="1:4" x14ac:dyDescent="0.25">
      <c r="A9" s="379"/>
      <c r="B9" s="387"/>
      <c r="C9" s="152" t="s">
        <v>171</v>
      </c>
      <c r="D9" s="153">
        <f>D7-D8</f>
        <v>6</v>
      </c>
    </row>
    <row r="10" spans="1:4" x14ac:dyDescent="0.25">
      <c r="A10" s="379"/>
      <c r="B10" s="387"/>
      <c r="C10" s="152" t="s">
        <v>172</v>
      </c>
      <c r="D10" s="153">
        <v>52</v>
      </c>
    </row>
    <row r="11" spans="1:4" x14ac:dyDescent="0.25">
      <c r="A11" s="379"/>
      <c r="B11" s="387"/>
      <c r="C11" s="152" t="s">
        <v>173</v>
      </c>
      <c r="D11" s="153">
        <f>D9*D10</f>
        <v>312</v>
      </c>
    </row>
    <row r="12" spans="1:4" x14ac:dyDescent="0.25">
      <c r="A12" s="380"/>
      <c r="B12" s="387"/>
      <c r="C12" s="152" t="s">
        <v>174</v>
      </c>
      <c r="D12" s="154">
        <f>D11/12</f>
        <v>26</v>
      </c>
    </row>
    <row r="13" spans="1:4" x14ac:dyDescent="0.25">
      <c r="A13" s="377" t="s">
        <v>31</v>
      </c>
      <c r="B13" s="378" t="s">
        <v>239</v>
      </c>
      <c r="C13" s="155" t="s">
        <v>217</v>
      </c>
      <c r="D13" s="153">
        <v>1</v>
      </c>
    </row>
    <row r="14" spans="1:4" x14ac:dyDescent="0.25">
      <c r="A14" s="377"/>
      <c r="B14" s="379"/>
      <c r="C14" s="155" t="s">
        <v>176</v>
      </c>
      <c r="D14" s="153">
        <v>22</v>
      </c>
    </row>
    <row r="15" spans="1:4" x14ac:dyDescent="0.25">
      <c r="A15" s="377"/>
      <c r="B15" s="380"/>
      <c r="C15" s="155" t="s">
        <v>180</v>
      </c>
      <c r="D15" s="154">
        <f>D13*D14</f>
        <v>22</v>
      </c>
    </row>
    <row r="16" spans="1:4" x14ac:dyDescent="0.25">
      <c r="A16" s="377" t="s">
        <v>122</v>
      </c>
      <c r="B16" s="378" t="s">
        <v>228</v>
      </c>
      <c r="C16" s="155" t="s">
        <v>217</v>
      </c>
      <c r="D16" s="153">
        <v>2</v>
      </c>
    </row>
    <row r="17" spans="1:26" x14ac:dyDescent="0.25">
      <c r="A17" s="377"/>
      <c r="B17" s="379"/>
      <c r="C17" s="155" t="s">
        <v>176</v>
      </c>
      <c r="D17" s="153">
        <v>4</v>
      </c>
    </row>
    <row r="18" spans="1:26" x14ac:dyDescent="0.25">
      <c r="A18" s="377"/>
      <c r="B18" s="380"/>
      <c r="C18" s="155" t="s">
        <v>180</v>
      </c>
      <c r="D18" s="154">
        <f>D16*D17</f>
        <v>8</v>
      </c>
    </row>
    <row r="19" spans="1:26" s="170" customFormat="1" ht="40.5" customHeight="1" x14ac:dyDescent="0.25">
      <c r="A19" s="378" t="s">
        <v>233</v>
      </c>
      <c r="B19" s="378" t="s">
        <v>288</v>
      </c>
      <c r="C19" s="169" t="s">
        <v>175</v>
      </c>
      <c r="D19" s="168">
        <v>1</v>
      </c>
      <c r="E19" s="287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7"/>
      <c r="R19" s="287"/>
      <c r="S19" s="287"/>
      <c r="T19" s="287"/>
      <c r="U19" s="287"/>
      <c r="V19" s="287"/>
      <c r="W19" s="287"/>
      <c r="X19" s="287"/>
      <c r="Y19" s="287"/>
      <c r="Z19" s="287"/>
    </row>
    <row r="20" spans="1:26" s="170" customFormat="1" ht="40.5" customHeight="1" x14ac:dyDescent="0.25">
      <c r="A20" s="379"/>
      <c r="B20" s="379"/>
      <c r="C20" s="169" t="s">
        <v>176</v>
      </c>
      <c r="D20" s="168">
        <v>16</v>
      </c>
      <c r="E20" s="287"/>
      <c r="F20" s="287"/>
      <c r="G20" s="287"/>
      <c r="H20" s="287"/>
      <c r="I20" s="287"/>
      <c r="J20" s="287"/>
      <c r="K20" s="287"/>
      <c r="L20" s="287"/>
      <c r="M20" s="287"/>
      <c r="N20" s="287"/>
      <c r="O20" s="287"/>
      <c r="P20" s="287"/>
      <c r="Q20" s="287"/>
      <c r="R20" s="287"/>
      <c r="S20" s="287"/>
      <c r="T20" s="287"/>
      <c r="U20" s="287"/>
      <c r="V20" s="287"/>
      <c r="W20" s="287"/>
      <c r="X20" s="287"/>
      <c r="Y20" s="287"/>
      <c r="Z20" s="287"/>
    </row>
    <row r="21" spans="1:26" s="170" customFormat="1" ht="40.5" customHeight="1" x14ac:dyDescent="0.25">
      <c r="A21" s="380"/>
      <c r="B21" s="380"/>
      <c r="C21" s="169" t="s">
        <v>177</v>
      </c>
      <c r="D21" s="171">
        <f>D19*D20</f>
        <v>16</v>
      </c>
      <c r="E21" s="287"/>
      <c r="F21" s="287"/>
      <c r="G21" s="287"/>
      <c r="H21" s="287"/>
      <c r="I21" s="287"/>
      <c r="J21" s="287"/>
      <c r="K21" s="287"/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7"/>
      <c r="Z21" s="287"/>
    </row>
    <row r="22" spans="1:26" x14ac:dyDescent="0.25">
      <c r="A22" s="377" t="s">
        <v>235</v>
      </c>
      <c r="B22" s="378" t="s">
        <v>244</v>
      </c>
      <c r="C22" s="155" t="s">
        <v>240</v>
      </c>
      <c r="D22" s="153">
        <v>2</v>
      </c>
    </row>
    <row r="23" spans="1:26" x14ac:dyDescent="0.25">
      <c r="A23" s="377"/>
      <c r="B23" s="379"/>
      <c r="C23" s="155" t="s">
        <v>182</v>
      </c>
      <c r="D23" s="153">
        <v>12</v>
      </c>
    </row>
    <row r="24" spans="1:26" x14ac:dyDescent="0.25">
      <c r="A24" s="377"/>
      <c r="B24" s="380"/>
      <c r="C24" s="152" t="s">
        <v>184</v>
      </c>
      <c r="D24" s="154">
        <f>D22*D23</f>
        <v>24</v>
      </c>
    </row>
    <row r="25" spans="1:26" x14ac:dyDescent="0.25">
      <c r="A25" s="378" t="s">
        <v>224</v>
      </c>
      <c r="B25" s="378" t="s">
        <v>178</v>
      </c>
      <c r="C25" s="155" t="s">
        <v>179</v>
      </c>
      <c r="D25" s="153">
        <v>1</v>
      </c>
    </row>
    <row r="26" spans="1:26" x14ac:dyDescent="0.25">
      <c r="A26" s="379"/>
      <c r="B26" s="379"/>
      <c r="C26" s="155" t="s">
        <v>176</v>
      </c>
      <c r="D26" s="153">
        <v>16</v>
      </c>
    </row>
    <row r="27" spans="1:26" x14ac:dyDescent="0.25">
      <c r="A27" s="380"/>
      <c r="B27" s="380"/>
      <c r="C27" s="155" t="s">
        <v>180</v>
      </c>
      <c r="D27" s="156">
        <f>D25*D26</f>
        <v>16</v>
      </c>
    </row>
    <row r="28" spans="1:26" x14ac:dyDescent="0.25">
      <c r="A28" s="377" t="s">
        <v>29</v>
      </c>
      <c r="B28" s="378" t="s">
        <v>278</v>
      </c>
      <c r="C28" s="155" t="s">
        <v>181</v>
      </c>
      <c r="D28" s="153">
        <v>8</v>
      </c>
    </row>
    <row r="29" spans="1:26" x14ac:dyDescent="0.25">
      <c r="A29" s="377"/>
      <c r="B29" s="379"/>
      <c r="C29" s="155" t="s">
        <v>176</v>
      </c>
      <c r="D29" s="153">
        <v>16</v>
      </c>
    </row>
    <row r="30" spans="1:26" x14ac:dyDescent="0.25">
      <c r="A30" s="377"/>
      <c r="B30" s="380"/>
      <c r="C30" s="155" t="s">
        <v>180</v>
      </c>
      <c r="D30" s="154">
        <f>D28*D29</f>
        <v>128</v>
      </c>
    </row>
    <row r="31" spans="1:26" s="285" customFormat="1" x14ac:dyDescent="0.25">
      <c r="A31" s="286"/>
      <c r="B31" s="286"/>
      <c r="D31" s="286"/>
    </row>
    <row r="32" spans="1:26" s="285" customFormat="1" x14ac:dyDescent="0.25">
      <c r="A32" s="286"/>
      <c r="B32" s="286"/>
      <c r="D32" s="286"/>
    </row>
    <row r="33" spans="1:4" s="285" customFormat="1" x14ac:dyDescent="0.25">
      <c r="A33" s="286"/>
      <c r="B33" s="286"/>
      <c r="D33" s="286"/>
    </row>
    <row r="34" spans="1:4" s="285" customFormat="1" x14ac:dyDescent="0.25">
      <c r="A34" s="286"/>
      <c r="B34" s="286"/>
      <c r="D34" s="286"/>
    </row>
    <row r="35" spans="1:4" s="285" customFormat="1" x14ac:dyDescent="0.25">
      <c r="A35" s="288"/>
      <c r="B35" s="286"/>
      <c r="D35" s="286"/>
    </row>
    <row r="36" spans="1:4" s="285" customFormat="1" x14ac:dyDescent="0.25">
      <c r="A36" s="286"/>
      <c r="B36" s="286"/>
      <c r="D36" s="286"/>
    </row>
    <row r="37" spans="1:4" s="285" customFormat="1" x14ac:dyDescent="0.25">
      <c r="A37" s="286"/>
      <c r="B37" s="286"/>
      <c r="D37" s="286"/>
    </row>
    <row r="38" spans="1:4" s="285" customFormat="1" x14ac:dyDescent="0.25">
      <c r="A38" s="286"/>
      <c r="B38" s="286"/>
      <c r="D38" s="286"/>
    </row>
    <row r="39" spans="1:4" s="285" customFormat="1" x14ac:dyDescent="0.25">
      <c r="A39" s="286"/>
      <c r="B39" s="286"/>
      <c r="D39" s="286"/>
    </row>
    <row r="40" spans="1:4" s="285" customFormat="1" x14ac:dyDescent="0.25">
      <c r="A40" s="286"/>
      <c r="B40" s="286"/>
      <c r="D40" s="286"/>
    </row>
    <row r="41" spans="1:4" s="285" customFormat="1" x14ac:dyDescent="0.25">
      <c r="A41" s="286"/>
      <c r="B41" s="286"/>
      <c r="D41" s="286"/>
    </row>
    <row r="42" spans="1:4" s="285" customFormat="1" x14ac:dyDescent="0.25">
      <c r="A42" s="286"/>
      <c r="B42" s="286"/>
      <c r="D42" s="286"/>
    </row>
    <row r="43" spans="1:4" s="285" customFormat="1" x14ac:dyDescent="0.25">
      <c r="A43" s="286"/>
      <c r="B43" s="286"/>
      <c r="D43" s="286"/>
    </row>
    <row r="44" spans="1:4" s="285" customFormat="1" x14ac:dyDescent="0.25">
      <c r="A44" s="286"/>
      <c r="B44" s="286"/>
      <c r="D44" s="286"/>
    </row>
    <row r="45" spans="1:4" s="285" customFormat="1" x14ac:dyDescent="0.25">
      <c r="A45" s="286"/>
      <c r="B45" s="286"/>
      <c r="D45" s="286"/>
    </row>
    <row r="46" spans="1:4" s="285" customFormat="1" x14ac:dyDescent="0.25">
      <c r="A46" s="286"/>
      <c r="B46" s="286"/>
      <c r="D46" s="286"/>
    </row>
    <row r="47" spans="1:4" s="285" customFormat="1" x14ac:dyDescent="0.25">
      <c r="A47" s="286"/>
      <c r="B47" s="286"/>
      <c r="D47" s="286"/>
    </row>
    <row r="48" spans="1:4" s="285" customFormat="1" x14ac:dyDescent="0.25">
      <c r="A48" s="286"/>
      <c r="B48" s="286"/>
      <c r="D48" s="286"/>
    </row>
    <row r="49" spans="1:4" s="285" customFormat="1" x14ac:dyDescent="0.25">
      <c r="A49" s="286"/>
      <c r="B49" s="286"/>
      <c r="D49" s="286"/>
    </row>
    <row r="50" spans="1:4" s="285" customFormat="1" x14ac:dyDescent="0.25">
      <c r="A50" s="286"/>
      <c r="B50" s="286"/>
      <c r="D50" s="286"/>
    </row>
    <row r="51" spans="1:4" s="285" customFormat="1" x14ac:dyDescent="0.25">
      <c r="A51" s="286"/>
      <c r="B51" s="286"/>
      <c r="D51" s="286"/>
    </row>
    <row r="52" spans="1:4" s="285" customFormat="1" x14ac:dyDescent="0.25">
      <c r="A52" s="286"/>
      <c r="B52" s="286"/>
      <c r="D52" s="286"/>
    </row>
    <row r="53" spans="1:4" s="285" customFormat="1" x14ac:dyDescent="0.25">
      <c r="A53" s="286"/>
      <c r="B53" s="286"/>
      <c r="D53" s="286"/>
    </row>
    <row r="54" spans="1:4" s="285" customFormat="1" x14ac:dyDescent="0.25">
      <c r="A54" s="286"/>
      <c r="B54" s="286"/>
      <c r="D54" s="286"/>
    </row>
    <row r="55" spans="1:4" s="285" customFormat="1" x14ac:dyDescent="0.25">
      <c r="A55" s="286"/>
      <c r="B55" s="286"/>
      <c r="D55" s="286"/>
    </row>
    <row r="56" spans="1:4" s="285" customFormat="1" x14ac:dyDescent="0.25">
      <c r="A56" s="286"/>
      <c r="B56" s="286"/>
      <c r="D56" s="286"/>
    </row>
    <row r="57" spans="1:4" s="285" customFormat="1" x14ac:dyDescent="0.25">
      <c r="A57" s="286"/>
      <c r="B57" s="286"/>
      <c r="D57" s="286"/>
    </row>
    <row r="58" spans="1:4" s="285" customFormat="1" x14ac:dyDescent="0.25">
      <c r="A58" s="286"/>
      <c r="B58" s="286"/>
      <c r="D58" s="286"/>
    </row>
    <row r="59" spans="1:4" s="285" customFormat="1" x14ac:dyDescent="0.25">
      <c r="A59" s="286"/>
      <c r="B59" s="286"/>
      <c r="D59" s="286"/>
    </row>
    <row r="60" spans="1:4" s="285" customFormat="1" x14ac:dyDescent="0.25">
      <c r="A60" s="286"/>
      <c r="B60" s="286"/>
      <c r="D60" s="286"/>
    </row>
    <row r="61" spans="1:4" s="285" customFormat="1" x14ac:dyDescent="0.25">
      <c r="A61" s="286"/>
      <c r="B61" s="286"/>
      <c r="D61" s="286"/>
    </row>
    <row r="62" spans="1:4" s="285" customFormat="1" x14ac:dyDescent="0.25">
      <c r="A62" s="286"/>
      <c r="B62" s="286"/>
      <c r="D62" s="286"/>
    </row>
    <row r="63" spans="1:4" s="285" customFormat="1" x14ac:dyDescent="0.25">
      <c r="A63" s="286"/>
      <c r="B63" s="286"/>
      <c r="D63" s="286"/>
    </row>
    <row r="64" spans="1:4" s="285" customFormat="1" x14ac:dyDescent="0.25">
      <c r="A64" s="286"/>
      <c r="B64" s="286"/>
      <c r="D64" s="286"/>
    </row>
    <row r="65" spans="1:4" s="285" customFormat="1" x14ac:dyDescent="0.25">
      <c r="A65" s="286"/>
      <c r="B65" s="286"/>
      <c r="D65" s="286"/>
    </row>
    <row r="66" spans="1:4" s="285" customFormat="1" x14ac:dyDescent="0.25">
      <c r="A66" s="286"/>
      <c r="B66" s="286"/>
      <c r="D66" s="286"/>
    </row>
    <row r="67" spans="1:4" s="285" customFormat="1" x14ac:dyDescent="0.25">
      <c r="A67" s="286"/>
      <c r="B67" s="286"/>
      <c r="D67" s="286"/>
    </row>
    <row r="68" spans="1:4" s="285" customFormat="1" x14ac:dyDescent="0.25">
      <c r="A68" s="286"/>
      <c r="B68" s="286"/>
      <c r="D68" s="286"/>
    </row>
    <row r="69" spans="1:4" s="285" customFormat="1" x14ac:dyDescent="0.25">
      <c r="A69" s="286"/>
      <c r="B69" s="286"/>
      <c r="D69" s="286"/>
    </row>
    <row r="70" spans="1:4" s="285" customFormat="1" x14ac:dyDescent="0.25">
      <c r="A70" s="286"/>
      <c r="B70" s="286"/>
      <c r="D70" s="286"/>
    </row>
    <row r="71" spans="1:4" s="285" customFormat="1" x14ac:dyDescent="0.25">
      <c r="A71" s="286"/>
      <c r="B71" s="286"/>
      <c r="D71" s="286"/>
    </row>
    <row r="72" spans="1:4" s="285" customFormat="1" x14ac:dyDescent="0.25">
      <c r="A72" s="286"/>
      <c r="B72" s="286"/>
      <c r="D72" s="286"/>
    </row>
    <row r="73" spans="1:4" s="285" customFormat="1" x14ac:dyDescent="0.25">
      <c r="A73" s="286"/>
      <c r="B73" s="286"/>
      <c r="D73" s="286"/>
    </row>
    <row r="74" spans="1:4" s="285" customFormat="1" x14ac:dyDescent="0.25">
      <c r="A74" s="286"/>
      <c r="B74" s="286"/>
      <c r="D74" s="286"/>
    </row>
    <row r="75" spans="1:4" s="285" customFormat="1" x14ac:dyDescent="0.25">
      <c r="A75" s="286"/>
      <c r="B75" s="286"/>
      <c r="D75" s="286"/>
    </row>
    <row r="76" spans="1:4" s="285" customFormat="1" x14ac:dyDescent="0.25">
      <c r="A76" s="286"/>
      <c r="B76" s="286"/>
      <c r="D76" s="286"/>
    </row>
    <row r="77" spans="1:4" s="285" customFormat="1" x14ac:dyDescent="0.25">
      <c r="A77" s="286"/>
      <c r="B77" s="286"/>
      <c r="D77" s="286"/>
    </row>
    <row r="78" spans="1:4" s="285" customFormat="1" x14ac:dyDescent="0.25">
      <c r="A78" s="286"/>
      <c r="B78" s="286"/>
      <c r="D78" s="286"/>
    </row>
    <row r="79" spans="1:4" s="285" customFormat="1" x14ac:dyDescent="0.25">
      <c r="A79" s="286"/>
      <c r="B79" s="286"/>
      <c r="D79" s="286"/>
    </row>
    <row r="80" spans="1:4" s="285" customFormat="1" x14ac:dyDescent="0.25">
      <c r="A80" s="286"/>
      <c r="B80" s="286"/>
      <c r="D80" s="286"/>
    </row>
    <row r="81" spans="1:4" s="285" customFormat="1" x14ac:dyDescent="0.25">
      <c r="A81" s="286"/>
      <c r="B81" s="286"/>
      <c r="D81" s="286"/>
    </row>
    <row r="82" spans="1:4" s="285" customFormat="1" x14ac:dyDescent="0.25">
      <c r="A82" s="286"/>
      <c r="B82" s="286"/>
      <c r="D82" s="286"/>
    </row>
    <row r="83" spans="1:4" s="285" customFormat="1" x14ac:dyDescent="0.25">
      <c r="A83" s="286"/>
      <c r="B83" s="286"/>
      <c r="D83" s="286"/>
    </row>
    <row r="84" spans="1:4" s="285" customFormat="1" x14ac:dyDescent="0.25">
      <c r="A84" s="286"/>
      <c r="B84" s="286"/>
      <c r="D84" s="286"/>
    </row>
    <row r="85" spans="1:4" s="285" customFormat="1" x14ac:dyDescent="0.25">
      <c r="A85" s="286"/>
      <c r="B85" s="286"/>
      <c r="D85" s="286"/>
    </row>
    <row r="86" spans="1:4" s="285" customFormat="1" x14ac:dyDescent="0.25">
      <c r="A86" s="286"/>
      <c r="B86" s="286"/>
      <c r="D86" s="286"/>
    </row>
    <row r="87" spans="1:4" s="285" customFormat="1" x14ac:dyDescent="0.25">
      <c r="A87" s="286"/>
      <c r="B87" s="286"/>
      <c r="D87" s="286"/>
    </row>
    <row r="88" spans="1:4" s="285" customFormat="1" x14ac:dyDescent="0.25">
      <c r="A88" s="286"/>
      <c r="B88" s="286"/>
      <c r="D88" s="286"/>
    </row>
    <row r="89" spans="1:4" s="285" customFormat="1" x14ac:dyDescent="0.25">
      <c r="A89" s="286"/>
      <c r="B89" s="286"/>
      <c r="D89" s="286"/>
    </row>
    <row r="90" spans="1:4" s="285" customFormat="1" x14ac:dyDescent="0.25">
      <c r="A90" s="286"/>
      <c r="B90" s="286"/>
      <c r="D90" s="286"/>
    </row>
    <row r="91" spans="1:4" s="285" customFormat="1" x14ac:dyDescent="0.25">
      <c r="A91" s="286"/>
      <c r="B91" s="286"/>
      <c r="D91" s="286"/>
    </row>
    <row r="92" spans="1:4" s="285" customFormat="1" x14ac:dyDescent="0.25">
      <c r="A92" s="286"/>
      <c r="B92" s="286"/>
      <c r="D92" s="286"/>
    </row>
    <row r="93" spans="1:4" s="285" customFormat="1" x14ac:dyDescent="0.25">
      <c r="A93" s="286"/>
      <c r="B93" s="286"/>
      <c r="D93" s="286"/>
    </row>
    <row r="94" spans="1:4" s="285" customFormat="1" x14ac:dyDescent="0.25">
      <c r="A94" s="286"/>
      <c r="B94" s="286"/>
      <c r="D94" s="286"/>
    </row>
    <row r="95" spans="1:4" s="285" customFormat="1" x14ac:dyDescent="0.25">
      <c r="A95" s="286"/>
      <c r="B95" s="286"/>
      <c r="D95" s="286"/>
    </row>
    <row r="96" spans="1:4" s="285" customFormat="1" x14ac:dyDescent="0.25">
      <c r="A96" s="286"/>
      <c r="B96" s="286"/>
      <c r="D96" s="286"/>
    </row>
    <row r="97" spans="1:4" s="285" customFormat="1" x14ac:dyDescent="0.25">
      <c r="A97" s="286"/>
      <c r="B97" s="286"/>
      <c r="D97" s="286"/>
    </row>
    <row r="98" spans="1:4" s="285" customFormat="1" x14ac:dyDescent="0.25">
      <c r="A98" s="286"/>
      <c r="B98" s="286"/>
      <c r="D98" s="286"/>
    </row>
    <row r="99" spans="1:4" s="285" customFormat="1" x14ac:dyDescent="0.25">
      <c r="A99" s="286"/>
      <c r="B99" s="286"/>
      <c r="D99" s="286"/>
    </row>
    <row r="100" spans="1:4" s="285" customFormat="1" x14ac:dyDescent="0.25">
      <c r="A100" s="286"/>
      <c r="B100" s="286"/>
      <c r="D100" s="286"/>
    </row>
  </sheetData>
  <sheetProtection algorithmName="SHA-512" hashValue="lowYVy7wdWaQjl1n2PYeV9chSvavmXgNZGeRTo4lic/osQRtCYyGedFI6BDTpsZPpYeeLUyUE3dm0KPXKtNUvw==" saltValue="/AfkXPrJbmZO/lZ9wesq6Q==" spinCount="100000" sheet="1" objects="1" scenarios="1"/>
  <mergeCells count="18">
    <mergeCell ref="B25:B27"/>
    <mergeCell ref="A28:A30"/>
    <mergeCell ref="B28:B30"/>
    <mergeCell ref="A25:A27"/>
    <mergeCell ref="A16:A18"/>
    <mergeCell ref="B16:B18"/>
    <mergeCell ref="A19:A21"/>
    <mergeCell ref="B19:B21"/>
    <mergeCell ref="A22:A24"/>
    <mergeCell ref="B22:B24"/>
    <mergeCell ref="A13:A15"/>
    <mergeCell ref="B13:B15"/>
    <mergeCell ref="A1:D1"/>
    <mergeCell ref="A2:D2"/>
    <mergeCell ref="A4:D4"/>
    <mergeCell ref="A5:D5"/>
    <mergeCell ref="A6:A12"/>
    <mergeCell ref="B6:B1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X66"/>
  <sheetViews>
    <sheetView showGridLines="0" zoomScale="82" zoomScaleNormal="82" workbookViewId="0">
      <selection activeCell="F9" sqref="F9"/>
    </sheetView>
  </sheetViews>
  <sheetFormatPr defaultColWidth="9.140625" defaultRowHeight="27" customHeight="1" x14ac:dyDescent="0.25"/>
  <cols>
    <col min="1" max="1" width="1.140625" style="1" customWidth="1"/>
    <col min="2" max="2" width="24.42578125" style="1" customWidth="1"/>
    <col min="3" max="3" width="56" style="118" customWidth="1"/>
    <col min="4" max="4" width="27.28515625" style="128" customWidth="1"/>
    <col min="5" max="5" width="3.7109375" style="106" customWidth="1"/>
    <col min="6" max="6" width="27.28515625" style="128" customWidth="1"/>
    <col min="7" max="7" width="3.7109375" style="106" customWidth="1"/>
    <col min="8" max="8" width="27.28515625" style="128" customWidth="1"/>
    <col min="9" max="9" width="3.7109375" style="106" customWidth="1"/>
    <col min="10" max="10" width="27.28515625" style="128" customWidth="1"/>
    <col min="11" max="11" width="3.7109375" style="106" customWidth="1"/>
    <col min="12" max="12" width="10.28515625" style="52" customWidth="1"/>
    <col min="13" max="13" width="36.42578125" style="129" customWidth="1"/>
    <col min="14" max="14" width="3.7109375" style="118" customWidth="1"/>
    <col min="15" max="24" width="9.140625" style="104"/>
    <col min="25" max="16384" width="9.140625" style="1"/>
  </cols>
  <sheetData>
    <row r="1" spans="2:24" ht="21" x14ac:dyDescent="0.35">
      <c r="B1" s="396" t="s">
        <v>311</v>
      </c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</row>
    <row r="2" spans="2:24" ht="15.75" x14ac:dyDescent="0.25"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</row>
    <row r="3" spans="2:24" ht="15.75" x14ac:dyDescent="0.25"/>
    <row r="4" spans="2:24" s="108" customFormat="1" ht="27" customHeight="1" x14ac:dyDescent="0.25">
      <c r="B4" s="394" t="s">
        <v>108</v>
      </c>
      <c r="C4" s="394"/>
      <c r="D4" s="394"/>
      <c r="E4" s="394"/>
      <c r="F4" s="394"/>
      <c r="G4" s="394"/>
      <c r="H4" s="394"/>
      <c r="I4" s="394"/>
      <c r="J4" s="394"/>
      <c r="K4" s="394"/>
      <c r="L4" s="394"/>
      <c r="M4" s="394"/>
      <c r="N4" s="107"/>
      <c r="O4" s="130"/>
      <c r="P4" s="130"/>
      <c r="Q4" s="130"/>
      <c r="R4" s="130"/>
      <c r="S4" s="130"/>
      <c r="T4" s="130"/>
      <c r="U4" s="130"/>
      <c r="V4" s="130"/>
      <c r="W4" s="130"/>
      <c r="X4" s="130"/>
    </row>
    <row r="5" spans="2:24" s="113" customFormat="1" ht="27" customHeight="1" x14ac:dyDescent="0.25">
      <c r="B5" s="109" t="s">
        <v>109</v>
      </c>
      <c r="C5" s="110"/>
      <c r="D5" s="398" t="s">
        <v>107</v>
      </c>
      <c r="E5" s="398"/>
      <c r="F5" s="398"/>
      <c r="G5" s="398"/>
      <c r="H5" s="398"/>
      <c r="I5" s="398"/>
      <c r="J5" s="398"/>
      <c r="K5" s="398"/>
      <c r="L5" s="398"/>
      <c r="M5" s="111" t="s">
        <v>106</v>
      </c>
      <c r="N5" s="112"/>
      <c r="O5" s="131"/>
      <c r="P5" s="131"/>
      <c r="Q5" s="131"/>
      <c r="R5" s="131"/>
      <c r="S5" s="131"/>
      <c r="T5" s="131"/>
      <c r="U5" s="131"/>
      <c r="V5" s="131"/>
      <c r="W5" s="131"/>
      <c r="X5" s="131"/>
    </row>
    <row r="6" spans="2:24" ht="27" customHeight="1" x14ac:dyDescent="0.25">
      <c r="B6" s="79" t="s">
        <v>130</v>
      </c>
      <c r="C6" s="390" t="s">
        <v>137</v>
      </c>
      <c r="D6" s="87" t="s">
        <v>68</v>
      </c>
      <c r="E6" s="114" t="s">
        <v>66</v>
      </c>
      <c r="F6" s="87" t="s">
        <v>69</v>
      </c>
      <c r="G6" s="115" t="s">
        <v>67</v>
      </c>
      <c r="H6" s="87" t="s">
        <v>70</v>
      </c>
      <c r="I6" s="115"/>
      <c r="J6" s="87"/>
      <c r="K6" s="116"/>
      <c r="L6" s="57"/>
      <c r="M6" s="117"/>
    </row>
    <row r="7" spans="2:24" ht="27" customHeight="1" x14ac:dyDescent="0.25">
      <c r="B7" s="80"/>
      <c r="C7" s="390"/>
      <c r="D7" s="119" t="s">
        <v>71</v>
      </c>
      <c r="E7" s="120"/>
      <c r="F7" s="119" t="s">
        <v>129</v>
      </c>
      <c r="G7" s="121"/>
      <c r="H7" s="119" t="s">
        <v>72</v>
      </c>
      <c r="I7" s="121"/>
      <c r="J7" s="119"/>
      <c r="K7" s="121"/>
      <c r="L7" s="54"/>
      <c r="M7" s="122"/>
    </row>
    <row r="8" spans="2:24" ht="27" customHeight="1" x14ac:dyDescent="0.25">
      <c r="B8" s="79" t="s">
        <v>131</v>
      </c>
      <c r="C8" s="390" t="s">
        <v>136</v>
      </c>
      <c r="D8" s="87" t="s">
        <v>101</v>
      </c>
      <c r="E8" s="114" t="s">
        <v>66</v>
      </c>
      <c r="F8" s="87" t="s">
        <v>132</v>
      </c>
      <c r="G8" s="115"/>
      <c r="H8" s="87"/>
      <c r="I8" s="115"/>
      <c r="J8" s="87"/>
      <c r="K8" s="116"/>
      <c r="L8" s="57"/>
      <c r="M8" s="117"/>
    </row>
    <row r="9" spans="2:24" ht="27" customHeight="1" x14ac:dyDescent="0.25">
      <c r="B9" s="80"/>
      <c r="C9" s="390"/>
      <c r="D9" s="119" t="s">
        <v>90</v>
      </c>
      <c r="E9" s="120"/>
      <c r="F9" s="119"/>
      <c r="G9" s="121"/>
      <c r="H9" s="119"/>
      <c r="I9" s="121"/>
      <c r="J9" s="119"/>
      <c r="K9" s="121"/>
      <c r="L9" s="54"/>
      <c r="M9" s="122"/>
    </row>
    <row r="10" spans="2:24" ht="27" customHeight="1" x14ac:dyDescent="0.25">
      <c r="B10" s="123" t="s">
        <v>31</v>
      </c>
      <c r="C10" s="390" t="s">
        <v>226</v>
      </c>
      <c r="D10" s="87" t="s">
        <v>97</v>
      </c>
      <c r="E10" s="115" t="s">
        <v>67</v>
      </c>
      <c r="F10" s="87" t="s">
        <v>157</v>
      </c>
      <c r="G10" s="115" t="s">
        <v>67</v>
      </c>
      <c r="H10" s="87" t="s">
        <v>231</v>
      </c>
      <c r="I10" s="115"/>
      <c r="J10" s="87"/>
      <c r="K10" s="115"/>
      <c r="L10" s="162"/>
      <c r="M10" s="117" t="s">
        <v>245</v>
      </c>
    </row>
    <row r="11" spans="2:24" ht="27" customHeight="1" x14ac:dyDescent="0.25">
      <c r="B11" s="124"/>
      <c r="C11" s="390"/>
      <c r="D11" s="125"/>
      <c r="E11" s="121"/>
      <c r="F11" s="119" t="s">
        <v>90</v>
      </c>
      <c r="G11" s="121"/>
      <c r="H11" s="119" t="s">
        <v>229</v>
      </c>
      <c r="I11" s="121"/>
      <c r="J11" s="119"/>
      <c r="K11" s="121"/>
      <c r="L11" s="163"/>
      <c r="M11" s="122" t="s">
        <v>50</v>
      </c>
    </row>
    <row r="12" spans="2:24" ht="27" customHeight="1" x14ac:dyDescent="0.25">
      <c r="B12" s="123" t="s">
        <v>233</v>
      </c>
      <c r="C12" s="390" t="s">
        <v>287</v>
      </c>
      <c r="D12" s="87"/>
      <c r="E12" s="115"/>
      <c r="F12" s="87"/>
      <c r="G12" s="115"/>
      <c r="H12" s="87"/>
      <c r="I12" s="115"/>
      <c r="J12" s="87"/>
      <c r="K12" s="115"/>
      <c r="L12" s="162"/>
      <c r="M12" s="117"/>
    </row>
    <row r="13" spans="2:24" ht="27" customHeight="1" x14ac:dyDescent="0.25">
      <c r="B13" s="124"/>
      <c r="C13" s="390"/>
      <c r="D13" s="125"/>
      <c r="E13" s="121"/>
      <c r="F13" s="119"/>
      <c r="G13" s="121"/>
      <c r="H13" s="119"/>
      <c r="I13" s="121"/>
      <c r="J13" s="119"/>
      <c r="K13" s="121"/>
      <c r="L13" s="163"/>
      <c r="M13" s="122"/>
    </row>
    <row r="14" spans="2:24" ht="27" customHeight="1" x14ac:dyDescent="0.25">
      <c r="B14" s="123" t="s">
        <v>122</v>
      </c>
      <c r="C14" s="390" t="s">
        <v>228</v>
      </c>
      <c r="D14" s="87" t="s">
        <v>97</v>
      </c>
      <c r="E14" s="115" t="s">
        <v>67</v>
      </c>
      <c r="F14" s="87" t="s">
        <v>157</v>
      </c>
      <c r="G14" s="115" t="s">
        <v>67</v>
      </c>
      <c r="H14" s="87" t="s">
        <v>232</v>
      </c>
      <c r="I14" s="115"/>
      <c r="J14" s="87"/>
      <c r="K14" s="115"/>
      <c r="L14" s="162"/>
      <c r="M14" s="117" t="s">
        <v>245</v>
      </c>
    </row>
    <row r="15" spans="2:24" ht="27" customHeight="1" x14ac:dyDescent="0.25">
      <c r="B15" s="124"/>
      <c r="C15" s="401"/>
      <c r="D15" s="125"/>
      <c r="E15" s="121"/>
      <c r="F15" s="119" t="s">
        <v>90</v>
      </c>
      <c r="G15" s="121"/>
      <c r="H15" s="119" t="s">
        <v>230</v>
      </c>
      <c r="I15" s="121"/>
      <c r="J15" s="119"/>
      <c r="K15" s="121"/>
      <c r="L15" s="163"/>
      <c r="M15" s="122" t="s">
        <v>50</v>
      </c>
    </row>
    <row r="16" spans="2:24" ht="27" customHeight="1" x14ac:dyDescent="0.25">
      <c r="B16" s="123" t="s">
        <v>235</v>
      </c>
      <c r="C16" s="390" t="s">
        <v>241</v>
      </c>
      <c r="D16" s="87" t="s">
        <v>242</v>
      </c>
      <c r="E16" s="115" t="s">
        <v>67</v>
      </c>
      <c r="F16" s="87" t="s">
        <v>97</v>
      </c>
      <c r="G16" s="115" t="s">
        <v>67</v>
      </c>
      <c r="H16" s="87" t="s">
        <v>157</v>
      </c>
      <c r="I16" s="115"/>
      <c r="J16" s="87"/>
      <c r="K16" s="115"/>
      <c r="L16" s="56"/>
      <c r="M16" s="137" t="s">
        <v>243</v>
      </c>
    </row>
    <row r="17" spans="2:14" ht="27" customHeight="1" x14ac:dyDescent="0.25">
      <c r="B17" s="124"/>
      <c r="C17" s="401"/>
      <c r="D17" s="125"/>
      <c r="E17" s="121"/>
      <c r="F17" s="125"/>
      <c r="G17" s="121"/>
      <c r="H17" s="119" t="s">
        <v>90</v>
      </c>
      <c r="I17" s="121"/>
      <c r="J17" s="119"/>
      <c r="K17" s="121"/>
      <c r="L17" s="54"/>
      <c r="M17" s="137"/>
    </row>
    <row r="18" spans="2:14" ht="27" customHeight="1" x14ac:dyDescent="0.25">
      <c r="B18" s="89" t="s">
        <v>224</v>
      </c>
      <c r="C18" s="397" t="s">
        <v>225</v>
      </c>
      <c r="D18" s="56" t="s">
        <v>162</v>
      </c>
      <c r="E18" s="115" t="s">
        <v>67</v>
      </c>
      <c r="F18" s="56" t="s">
        <v>158</v>
      </c>
      <c r="G18" s="115" t="s">
        <v>67</v>
      </c>
      <c r="H18" s="87" t="s">
        <v>157</v>
      </c>
      <c r="I18" s="116"/>
      <c r="J18" s="87"/>
      <c r="K18" s="116"/>
      <c r="L18" s="138"/>
      <c r="M18" s="117" t="s">
        <v>160</v>
      </c>
    </row>
    <row r="19" spans="2:14" ht="27" customHeight="1" x14ac:dyDescent="0.25">
      <c r="B19" s="136"/>
      <c r="C19" s="397"/>
      <c r="D19" s="145">
        <v>1</v>
      </c>
      <c r="E19" s="116"/>
      <c r="F19" s="119"/>
      <c r="G19" s="116"/>
      <c r="H19" s="119" t="s">
        <v>90</v>
      </c>
      <c r="I19" s="116"/>
      <c r="J19" s="119"/>
      <c r="K19" s="116"/>
      <c r="L19" s="138"/>
      <c r="M19" s="122"/>
    </row>
    <row r="20" spans="2:14" ht="27" customHeight="1" x14ac:dyDescent="0.25">
      <c r="B20" s="89" t="s">
        <v>29</v>
      </c>
      <c r="C20" s="397" t="s">
        <v>210</v>
      </c>
      <c r="D20" s="399" t="s">
        <v>163</v>
      </c>
      <c r="E20" s="115" t="s">
        <v>67</v>
      </c>
      <c r="F20" s="56" t="s">
        <v>158</v>
      </c>
      <c r="G20" s="115" t="s">
        <v>67</v>
      </c>
      <c r="H20" s="87" t="s">
        <v>157</v>
      </c>
      <c r="I20" s="115" t="s">
        <v>67</v>
      </c>
      <c r="J20" s="87" t="s">
        <v>105</v>
      </c>
      <c r="K20" s="115"/>
      <c r="L20" s="162"/>
      <c r="M20" s="117" t="s">
        <v>246</v>
      </c>
    </row>
    <row r="21" spans="2:14" ht="27" customHeight="1" x14ac:dyDescent="0.25">
      <c r="B21" s="126"/>
      <c r="C21" s="397"/>
      <c r="D21" s="400"/>
      <c r="E21" s="116"/>
      <c r="F21" s="119"/>
      <c r="G21" s="121"/>
      <c r="H21" s="119" t="s">
        <v>90</v>
      </c>
      <c r="I21" s="121"/>
      <c r="J21" s="119" t="s">
        <v>159</v>
      </c>
      <c r="K21" s="121"/>
      <c r="L21" s="163"/>
      <c r="M21" s="122" t="s">
        <v>49</v>
      </c>
    </row>
    <row r="22" spans="2:14" ht="27" customHeight="1" x14ac:dyDescent="0.25">
      <c r="B22" s="89" t="s">
        <v>47</v>
      </c>
      <c r="C22" s="390" t="s">
        <v>219</v>
      </c>
      <c r="D22" s="87" t="s">
        <v>101</v>
      </c>
      <c r="E22" s="115" t="s">
        <v>67</v>
      </c>
      <c r="F22" s="87" t="s">
        <v>103</v>
      </c>
      <c r="G22" s="115"/>
      <c r="H22" s="87"/>
      <c r="I22" s="115"/>
      <c r="J22" s="87"/>
      <c r="K22" s="115"/>
      <c r="L22" s="162"/>
      <c r="M22" s="117" t="s">
        <v>247</v>
      </c>
    </row>
    <row r="23" spans="2:14" ht="27" customHeight="1" x14ac:dyDescent="0.25">
      <c r="B23" s="126"/>
      <c r="C23" s="390"/>
      <c r="D23" s="119" t="s">
        <v>90</v>
      </c>
      <c r="E23" s="121"/>
      <c r="F23" s="119" t="s">
        <v>102</v>
      </c>
      <c r="G23" s="121"/>
      <c r="H23" s="119"/>
      <c r="I23" s="121"/>
      <c r="J23" s="119"/>
      <c r="K23" s="121"/>
      <c r="L23" s="163"/>
      <c r="M23" s="122" t="s">
        <v>220</v>
      </c>
    </row>
    <row r="24" spans="2:14" ht="58.5" customHeight="1" x14ac:dyDescent="0.25">
      <c r="B24" s="89" t="s">
        <v>48</v>
      </c>
      <c r="C24" s="390" t="s">
        <v>222</v>
      </c>
      <c r="D24" s="87" t="s">
        <v>223</v>
      </c>
      <c r="E24" s="115" t="s">
        <v>67</v>
      </c>
      <c r="F24" s="87" t="s">
        <v>104</v>
      </c>
      <c r="G24" s="115"/>
      <c r="H24" s="87"/>
      <c r="I24" s="115"/>
      <c r="J24" s="87"/>
      <c r="K24" s="115"/>
      <c r="L24" s="162"/>
      <c r="M24" s="117" t="s">
        <v>247</v>
      </c>
    </row>
    <row r="25" spans="2:14" ht="27" customHeight="1" x14ac:dyDescent="0.25">
      <c r="B25" s="126"/>
      <c r="C25" s="390"/>
      <c r="D25" s="119" t="s">
        <v>90</v>
      </c>
      <c r="E25" s="121"/>
      <c r="F25" s="119" t="s">
        <v>112</v>
      </c>
      <c r="G25" s="121"/>
      <c r="H25" s="119"/>
      <c r="I25" s="121"/>
      <c r="J25" s="119"/>
      <c r="K25" s="121"/>
      <c r="L25" s="163"/>
      <c r="M25" s="125" t="s">
        <v>221</v>
      </c>
    </row>
    <row r="26" spans="2:14" ht="27" customHeight="1" x14ac:dyDescent="0.25">
      <c r="B26" s="89" t="s">
        <v>45</v>
      </c>
      <c r="C26" s="397" t="s">
        <v>275</v>
      </c>
      <c r="D26" s="391" t="s">
        <v>98</v>
      </c>
      <c r="E26" s="114" t="s">
        <v>66</v>
      </c>
      <c r="F26" s="87" t="s">
        <v>100</v>
      </c>
      <c r="G26" s="115" t="s">
        <v>67</v>
      </c>
      <c r="H26" s="87" t="s">
        <v>99</v>
      </c>
      <c r="I26" s="115"/>
      <c r="J26" s="87"/>
      <c r="K26" s="115"/>
      <c r="L26" s="56"/>
      <c r="M26" s="137" t="s">
        <v>123</v>
      </c>
      <c r="N26" s="1"/>
    </row>
    <row r="27" spans="2:14" ht="27" customHeight="1" x14ac:dyDescent="0.25">
      <c r="B27" s="126"/>
      <c r="C27" s="397"/>
      <c r="D27" s="392"/>
      <c r="E27" s="121"/>
      <c r="F27" s="119" t="s">
        <v>207</v>
      </c>
      <c r="G27" s="121"/>
      <c r="H27" s="119" t="s">
        <v>276</v>
      </c>
      <c r="I27" s="121"/>
      <c r="J27" s="119"/>
      <c r="K27" s="121"/>
      <c r="L27" s="54"/>
      <c r="M27" s="122"/>
      <c r="N27" s="1"/>
    </row>
    <row r="28" spans="2:14" ht="27" customHeight="1" x14ac:dyDescent="0.25">
      <c r="B28" s="79" t="s">
        <v>15</v>
      </c>
      <c r="C28" s="390" t="s">
        <v>152</v>
      </c>
      <c r="D28" s="87" t="s">
        <v>146</v>
      </c>
      <c r="E28" s="114" t="s">
        <v>66</v>
      </c>
      <c r="F28" s="87" t="s">
        <v>78</v>
      </c>
      <c r="G28" s="115" t="s">
        <v>67</v>
      </c>
      <c r="H28" s="87" t="s">
        <v>75</v>
      </c>
      <c r="I28" s="115"/>
      <c r="J28" s="87"/>
      <c r="K28" s="115" t="s">
        <v>76</v>
      </c>
      <c r="L28" s="53">
        <f>(13/12)/12*(1+(1/3))</f>
        <v>0.12037037037037036</v>
      </c>
      <c r="M28" s="117" t="s">
        <v>52</v>
      </c>
    </row>
    <row r="29" spans="2:14" ht="27" customHeight="1" x14ac:dyDescent="0.25">
      <c r="B29" s="80"/>
      <c r="C29" s="390"/>
      <c r="D29" s="119" t="s">
        <v>147</v>
      </c>
      <c r="E29" s="120"/>
      <c r="F29" s="119" t="s">
        <v>73</v>
      </c>
      <c r="G29" s="121"/>
      <c r="H29" s="119" t="s">
        <v>77</v>
      </c>
      <c r="I29" s="121"/>
      <c r="J29" s="161"/>
      <c r="K29" s="121"/>
      <c r="L29" s="54"/>
      <c r="M29" s="122"/>
    </row>
    <row r="30" spans="2:14" ht="27" customHeight="1" x14ac:dyDescent="0.25">
      <c r="B30" s="79" t="s">
        <v>16</v>
      </c>
      <c r="C30" s="390" t="s">
        <v>258</v>
      </c>
      <c r="D30" s="87" t="s">
        <v>82</v>
      </c>
      <c r="E30" s="114" t="s">
        <v>66</v>
      </c>
      <c r="F30" s="87" t="s">
        <v>128</v>
      </c>
      <c r="G30" s="114"/>
      <c r="H30" s="87"/>
      <c r="I30" s="115"/>
      <c r="J30" s="87"/>
      <c r="K30" s="115" t="s">
        <v>76</v>
      </c>
      <c r="L30" s="53">
        <f>5.96/30/12</f>
        <v>1.6555555555555556E-2</v>
      </c>
      <c r="M30" s="388" t="s">
        <v>51</v>
      </c>
    </row>
    <row r="31" spans="2:14" ht="27" customHeight="1" x14ac:dyDescent="0.25">
      <c r="B31" s="80"/>
      <c r="C31" s="390"/>
      <c r="D31" s="119" t="s">
        <v>252</v>
      </c>
      <c r="E31" s="121"/>
      <c r="F31" s="119" t="s">
        <v>127</v>
      </c>
      <c r="G31" s="121"/>
      <c r="H31" s="119"/>
      <c r="I31" s="121"/>
      <c r="J31" s="119"/>
      <c r="K31" s="121"/>
      <c r="L31" s="54"/>
      <c r="M31" s="389"/>
    </row>
    <row r="32" spans="2:14" ht="27" customHeight="1" x14ac:dyDescent="0.25">
      <c r="B32" s="79" t="s">
        <v>17</v>
      </c>
      <c r="C32" s="390" t="s">
        <v>250</v>
      </c>
      <c r="D32" s="87" t="s">
        <v>74</v>
      </c>
      <c r="E32" s="114" t="s">
        <v>66</v>
      </c>
      <c r="F32" s="87" t="s">
        <v>78</v>
      </c>
      <c r="G32" s="115" t="s">
        <v>67</v>
      </c>
      <c r="H32" s="87" t="s">
        <v>251</v>
      </c>
      <c r="I32" s="115" t="s">
        <v>67</v>
      </c>
      <c r="J32" s="87" t="s">
        <v>81</v>
      </c>
      <c r="K32" s="115" t="s">
        <v>76</v>
      </c>
      <c r="L32" s="53">
        <f>4/12*0.5524*0.03</f>
        <v>5.5239999999999994E-3</v>
      </c>
      <c r="M32" s="117" t="s">
        <v>53</v>
      </c>
    </row>
    <row r="33" spans="2:13" ht="27" customHeight="1" x14ac:dyDescent="0.25">
      <c r="B33" s="80"/>
      <c r="C33" s="393"/>
      <c r="D33" s="119" t="s">
        <v>79</v>
      </c>
      <c r="E33" s="120"/>
      <c r="F33" s="119" t="s">
        <v>73</v>
      </c>
      <c r="G33" s="121"/>
      <c r="H33" s="119" t="s">
        <v>249</v>
      </c>
      <c r="I33" s="121"/>
      <c r="J33" s="119" t="s">
        <v>80</v>
      </c>
      <c r="K33" s="121"/>
      <c r="L33" s="54"/>
      <c r="M33" s="122" t="s">
        <v>248</v>
      </c>
    </row>
    <row r="34" spans="2:13" ht="27" customHeight="1" x14ac:dyDescent="0.25">
      <c r="B34" s="79" t="s">
        <v>18</v>
      </c>
      <c r="C34" s="390" t="s">
        <v>253</v>
      </c>
      <c r="D34" s="87" t="s">
        <v>83</v>
      </c>
      <c r="E34" s="114" t="s">
        <v>66</v>
      </c>
      <c r="F34" s="87" t="s">
        <v>128</v>
      </c>
      <c r="G34" s="115" t="s">
        <v>67</v>
      </c>
      <c r="H34" s="87" t="s">
        <v>81</v>
      </c>
      <c r="I34" s="115"/>
      <c r="J34" s="87"/>
      <c r="K34" s="115" t="s">
        <v>76</v>
      </c>
      <c r="L34" s="53">
        <f>5/30/12*0.015</f>
        <v>2.0833333333333332E-4</v>
      </c>
      <c r="M34" s="388" t="s">
        <v>54</v>
      </c>
    </row>
    <row r="35" spans="2:13" ht="27" customHeight="1" x14ac:dyDescent="0.25">
      <c r="B35" s="80"/>
      <c r="C35" s="390"/>
      <c r="D35" s="119">
        <v>5</v>
      </c>
      <c r="E35" s="121"/>
      <c r="F35" s="119" t="s">
        <v>127</v>
      </c>
      <c r="G35" s="121"/>
      <c r="H35" s="119" t="s">
        <v>254</v>
      </c>
      <c r="I35" s="121"/>
      <c r="J35" s="119"/>
      <c r="K35" s="121"/>
      <c r="L35" s="54"/>
      <c r="M35" s="389"/>
    </row>
    <row r="36" spans="2:13" ht="27" customHeight="1" x14ac:dyDescent="0.25">
      <c r="B36" s="79" t="s">
        <v>19</v>
      </c>
      <c r="C36" s="390" t="s">
        <v>259</v>
      </c>
      <c r="D36" s="87" t="s">
        <v>82</v>
      </c>
      <c r="E36" s="114" t="s">
        <v>66</v>
      </c>
      <c r="F36" s="87" t="s">
        <v>128</v>
      </c>
      <c r="G36" s="114"/>
      <c r="H36" s="87"/>
      <c r="I36" s="115"/>
      <c r="J36" s="87"/>
      <c r="K36" s="115" t="s">
        <v>76</v>
      </c>
      <c r="L36" s="53">
        <f>2.96/30/12</f>
        <v>8.2222222222222228E-3</v>
      </c>
      <c r="M36" s="117"/>
    </row>
    <row r="37" spans="2:13" ht="27" customHeight="1" x14ac:dyDescent="0.25">
      <c r="B37" s="80"/>
      <c r="C37" s="390"/>
      <c r="D37" s="119" t="s">
        <v>260</v>
      </c>
      <c r="E37" s="121"/>
      <c r="F37" s="119" t="s">
        <v>127</v>
      </c>
      <c r="G37" s="121"/>
      <c r="H37" s="119"/>
      <c r="I37" s="121"/>
      <c r="J37" s="119"/>
      <c r="K37" s="121"/>
      <c r="L37" s="54"/>
      <c r="M37" s="122"/>
    </row>
    <row r="38" spans="2:13" ht="27" customHeight="1" x14ac:dyDescent="0.25">
      <c r="B38" s="79" t="s">
        <v>40</v>
      </c>
      <c r="C38" s="390" t="s">
        <v>255</v>
      </c>
      <c r="D38" s="87" t="s">
        <v>83</v>
      </c>
      <c r="E38" s="114" t="s">
        <v>66</v>
      </c>
      <c r="F38" s="87" t="s">
        <v>128</v>
      </c>
      <c r="G38" s="115" t="s">
        <v>67</v>
      </c>
      <c r="H38" s="87" t="s">
        <v>81</v>
      </c>
      <c r="I38" s="115"/>
      <c r="J38" s="87"/>
      <c r="K38" s="115" t="s">
        <v>76</v>
      </c>
      <c r="L38" s="53">
        <f>15/30/12*0.0078</f>
        <v>3.2499999999999999E-4</v>
      </c>
      <c r="M38" s="117" t="s">
        <v>55</v>
      </c>
    </row>
    <row r="39" spans="2:13" ht="27" customHeight="1" x14ac:dyDescent="0.25">
      <c r="B39" s="80"/>
      <c r="C39" s="390"/>
      <c r="D39" s="119" t="s">
        <v>84</v>
      </c>
      <c r="E39" s="121"/>
      <c r="F39" s="119" t="s">
        <v>127</v>
      </c>
      <c r="G39" s="121"/>
      <c r="H39" s="119" t="s">
        <v>256</v>
      </c>
      <c r="I39" s="121"/>
      <c r="J39" s="119"/>
      <c r="K39" s="121"/>
      <c r="L39" s="54"/>
      <c r="M39" s="122"/>
    </row>
    <row r="40" spans="2:13" ht="27" customHeight="1" x14ac:dyDescent="0.25">
      <c r="B40" s="79" t="s">
        <v>20</v>
      </c>
      <c r="C40" s="390" t="s">
        <v>135</v>
      </c>
      <c r="D40" s="87" t="s">
        <v>83</v>
      </c>
      <c r="E40" s="114" t="s">
        <v>66</v>
      </c>
      <c r="F40" s="87" t="s">
        <v>128</v>
      </c>
      <c r="G40" s="114"/>
      <c r="H40" s="87"/>
      <c r="I40" s="115"/>
      <c r="J40" s="87"/>
      <c r="K40" s="115" t="s">
        <v>76</v>
      </c>
      <c r="L40" s="53">
        <f>7/30/12</f>
        <v>1.9444444444444445E-2</v>
      </c>
      <c r="M40" s="117"/>
    </row>
    <row r="41" spans="2:13" ht="27" customHeight="1" x14ac:dyDescent="0.25">
      <c r="B41" s="80"/>
      <c r="C41" s="390"/>
      <c r="D41" s="119" t="s">
        <v>86</v>
      </c>
      <c r="E41" s="121"/>
      <c r="F41" s="119" t="s">
        <v>127</v>
      </c>
      <c r="G41" s="121"/>
      <c r="H41" s="119"/>
      <c r="I41" s="121"/>
      <c r="J41" s="119"/>
      <c r="K41" s="121"/>
      <c r="L41" s="54"/>
      <c r="M41" s="122"/>
    </row>
    <row r="42" spans="2:13" ht="27" customHeight="1" x14ac:dyDescent="0.25">
      <c r="B42" s="79" t="s">
        <v>21</v>
      </c>
      <c r="C42" s="390" t="s">
        <v>155</v>
      </c>
      <c r="D42" s="87" t="s">
        <v>146</v>
      </c>
      <c r="E42" s="114" t="s">
        <v>66</v>
      </c>
      <c r="F42" s="87" t="s">
        <v>78</v>
      </c>
      <c r="G42" s="115"/>
      <c r="H42" s="87"/>
      <c r="I42" s="115"/>
      <c r="J42" s="87"/>
      <c r="K42" s="115" t="s">
        <v>76</v>
      </c>
      <c r="L42" s="53">
        <f>(13/12)/12</f>
        <v>9.0277777777777776E-2</v>
      </c>
      <c r="M42" s="388" t="s">
        <v>56</v>
      </c>
    </row>
    <row r="43" spans="2:13" ht="27" customHeight="1" x14ac:dyDescent="0.25">
      <c r="B43" s="80"/>
      <c r="C43" s="390"/>
      <c r="D43" s="119" t="s">
        <v>147</v>
      </c>
      <c r="E43" s="120"/>
      <c r="F43" s="119" t="s">
        <v>73</v>
      </c>
      <c r="G43" s="121"/>
      <c r="H43" s="119"/>
      <c r="I43" s="121"/>
      <c r="J43" s="119"/>
      <c r="K43" s="121"/>
      <c r="L43" s="54"/>
      <c r="M43" s="389"/>
    </row>
    <row r="44" spans="2:13" ht="27" customHeight="1" x14ac:dyDescent="0.25">
      <c r="B44" s="81" t="s">
        <v>43</v>
      </c>
      <c r="C44" s="390" t="s">
        <v>153</v>
      </c>
      <c r="D44" s="87" t="s">
        <v>148</v>
      </c>
      <c r="E44" s="115" t="s">
        <v>67</v>
      </c>
      <c r="F44" s="87" t="s">
        <v>149</v>
      </c>
      <c r="G44" s="115" t="s">
        <v>67</v>
      </c>
      <c r="H44" s="87" t="s">
        <v>111</v>
      </c>
      <c r="I44" s="115"/>
      <c r="J44" s="87"/>
      <c r="K44" s="115" t="s">
        <v>76</v>
      </c>
      <c r="L44" s="55">
        <f>0.08*(1+0.0833+0.1111)*0.5</f>
        <v>4.7775999999999999E-2</v>
      </c>
      <c r="M44" s="117" t="s">
        <v>57</v>
      </c>
    </row>
    <row r="45" spans="2:13" ht="27" customHeight="1" x14ac:dyDescent="0.25">
      <c r="B45" s="82"/>
      <c r="C45" s="390"/>
      <c r="D45" s="119" t="s">
        <v>85</v>
      </c>
      <c r="E45" s="121"/>
      <c r="F45" s="119" t="s">
        <v>257</v>
      </c>
      <c r="G45" s="121"/>
      <c r="H45" s="119" t="s">
        <v>87</v>
      </c>
      <c r="I45" s="121"/>
      <c r="J45" s="119"/>
      <c r="K45" s="121"/>
      <c r="L45" s="54"/>
      <c r="M45" s="122"/>
    </row>
    <row r="46" spans="2:13" ht="27" customHeight="1" x14ac:dyDescent="0.25">
      <c r="B46" s="83" t="s">
        <v>30</v>
      </c>
      <c r="C46" s="390" t="s">
        <v>65</v>
      </c>
      <c r="D46" s="87" t="s">
        <v>88</v>
      </c>
      <c r="E46" s="115" t="s">
        <v>67</v>
      </c>
      <c r="F46" s="87" t="s">
        <v>117</v>
      </c>
      <c r="G46" s="115" t="s">
        <v>91</v>
      </c>
      <c r="H46" s="87" t="s">
        <v>150</v>
      </c>
      <c r="I46" s="135"/>
      <c r="J46" s="134"/>
      <c r="K46" s="115"/>
      <c r="L46" s="56"/>
      <c r="M46" s="117"/>
    </row>
    <row r="47" spans="2:13" ht="27" customHeight="1" x14ac:dyDescent="0.25">
      <c r="B47" s="84"/>
      <c r="C47" s="390"/>
      <c r="D47" s="90" t="s">
        <v>90</v>
      </c>
      <c r="E47" s="121"/>
      <c r="F47" s="119" t="s">
        <v>89</v>
      </c>
      <c r="G47" s="121"/>
      <c r="H47" s="119" t="s">
        <v>92</v>
      </c>
      <c r="I47" s="119"/>
      <c r="J47" s="133"/>
      <c r="K47" s="121"/>
      <c r="L47" s="54"/>
      <c r="M47" s="122"/>
    </row>
    <row r="48" spans="2:13" ht="27" customHeight="1" x14ac:dyDescent="0.25">
      <c r="B48" s="85" t="s">
        <v>44</v>
      </c>
      <c r="C48" s="390" t="s">
        <v>154</v>
      </c>
      <c r="D48" s="87" t="s">
        <v>93</v>
      </c>
      <c r="E48" s="115" t="s">
        <v>67</v>
      </c>
      <c r="F48" s="87" t="s">
        <v>115</v>
      </c>
      <c r="G48" s="114" t="s">
        <v>91</v>
      </c>
      <c r="H48" s="87" t="s">
        <v>116</v>
      </c>
      <c r="I48" s="115"/>
      <c r="J48" s="87"/>
      <c r="K48" s="115"/>
      <c r="L48" s="56"/>
      <c r="M48" s="117"/>
    </row>
    <row r="49" spans="2:14" ht="27" customHeight="1" x14ac:dyDescent="0.25">
      <c r="B49" s="86"/>
      <c r="C49" s="390"/>
      <c r="D49" s="119" t="s">
        <v>90</v>
      </c>
      <c r="E49" s="121"/>
      <c r="F49" s="119" t="s">
        <v>94</v>
      </c>
      <c r="G49" s="121"/>
      <c r="H49" s="127" t="s">
        <v>4</v>
      </c>
      <c r="I49" s="121"/>
      <c r="J49" s="119"/>
      <c r="K49" s="121"/>
      <c r="L49" s="54"/>
      <c r="M49" s="122"/>
    </row>
    <row r="50" spans="2:14" ht="27" customHeight="1" x14ac:dyDescent="0.25">
      <c r="B50" s="83" t="s">
        <v>133</v>
      </c>
      <c r="C50" s="390" t="s">
        <v>96</v>
      </c>
      <c r="D50" s="87" t="s">
        <v>93</v>
      </c>
      <c r="E50" s="115" t="s">
        <v>67</v>
      </c>
      <c r="F50" s="87" t="s">
        <v>156</v>
      </c>
      <c r="G50" s="114" t="s">
        <v>66</v>
      </c>
      <c r="H50" s="87" t="s">
        <v>95</v>
      </c>
      <c r="I50" s="115"/>
      <c r="J50" s="87"/>
      <c r="K50" s="115"/>
      <c r="L50" s="56"/>
      <c r="M50" s="117"/>
    </row>
    <row r="51" spans="2:14" ht="27" customHeight="1" x14ac:dyDescent="0.25">
      <c r="B51" s="84"/>
      <c r="C51" s="390"/>
      <c r="D51" s="119" t="s">
        <v>90</v>
      </c>
      <c r="E51" s="121"/>
      <c r="F51" s="125"/>
      <c r="G51" s="121"/>
      <c r="H51" s="125"/>
      <c r="I51" s="121"/>
      <c r="J51" s="119"/>
      <c r="K51" s="121"/>
      <c r="L51" s="54"/>
      <c r="M51" s="122"/>
    </row>
    <row r="53" spans="2:14" ht="27" customHeight="1" x14ac:dyDescent="0.25">
      <c r="B53" s="1" t="s">
        <v>110</v>
      </c>
      <c r="N53" s="1"/>
    </row>
    <row r="54" spans="2:14" ht="27" customHeight="1" x14ac:dyDescent="0.25">
      <c r="B54" s="89" t="s">
        <v>39</v>
      </c>
      <c r="C54" s="390" t="s">
        <v>134</v>
      </c>
      <c r="N54" s="1"/>
    </row>
    <row r="55" spans="2:14" ht="27" customHeight="1" x14ac:dyDescent="0.25">
      <c r="B55" s="126"/>
      <c r="C55" s="390"/>
      <c r="N55" s="1"/>
    </row>
    <row r="66" spans="3:14" ht="27" customHeight="1" x14ac:dyDescent="0.2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</sheetData>
  <sheetProtection algorithmName="SHA-512" hashValue="coejGGzgIfwXCvrZAZQ5zvSIfgTrz3x/ytYA4XevDiVbwsu0GqGpl7uwGXnEWGZnl93tjnv5loPTtvkVi7/YRQ==" saltValue="ZAQWHIeJHVfKoNhyEdFVUg==" spinCount="100000" sheet="1" objects="1" scenarios="1"/>
  <mergeCells count="33">
    <mergeCell ref="B4:M4"/>
    <mergeCell ref="B2:M2"/>
    <mergeCell ref="B1:M1"/>
    <mergeCell ref="C26:C27"/>
    <mergeCell ref="D5:L5"/>
    <mergeCell ref="C6:C7"/>
    <mergeCell ref="C10:C11"/>
    <mergeCell ref="C22:C23"/>
    <mergeCell ref="C8:C9"/>
    <mergeCell ref="C12:C13"/>
    <mergeCell ref="D20:D21"/>
    <mergeCell ref="C14:C15"/>
    <mergeCell ref="C18:C19"/>
    <mergeCell ref="C20:C21"/>
    <mergeCell ref="C16:C17"/>
    <mergeCell ref="C54:C55"/>
    <mergeCell ref="C40:C41"/>
    <mergeCell ref="C46:C47"/>
    <mergeCell ref="C48:C49"/>
    <mergeCell ref="C32:C33"/>
    <mergeCell ref="C50:C51"/>
    <mergeCell ref="C34:C35"/>
    <mergeCell ref="C38:C39"/>
    <mergeCell ref="C44:C45"/>
    <mergeCell ref="M42:M43"/>
    <mergeCell ref="C24:C25"/>
    <mergeCell ref="C42:C43"/>
    <mergeCell ref="C28:C29"/>
    <mergeCell ref="C36:C37"/>
    <mergeCell ref="D26:D27"/>
    <mergeCell ref="M30:M31"/>
    <mergeCell ref="M34:M35"/>
    <mergeCell ref="C30:C31"/>
  </mergeCells>
  <printOptions horizontalCentered="1"/>
  <pageMargins left="0.59055118110236227" right="0.59055118110236227" top="0.78740157480314965" bottom="0.39370078740157483" header="0.31496062992125984" footer="0.31496062992125984"/>
  <pageSetup paperSize="9" scale="53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86"/>
  <sheetViews>
    <sheetView showGridLines="0" topLeftCell="A28" workbookViewId="0">
      <selection activeCell="I38" sqref="I38"/>
    </sheetView>
  </sheetViews>
  <sheetFormatPr defaultColWidth="9.140625" defaultRowHeight="12.75" customHeight="1" x14ac:dyDescent="0.25"/>
  <cols>
    <col min="1" max="1" width="2.140625" style="58" customWidth="1"/>
    <col min="2" max="2" width="10.42578125" style="58" customWidth="1"/>
    <col min="3" max="3" width="5.140625" style="58" customWidth="1"/>
    <col min="4" max="4" width="39.7109375" style="58" customWidth="1"/>
    <col min="5" max="5" width="14.7109375" style="58" customWidth="1"/>
    <col min="6" max="6" width="16.140625" style="59" customWidth="1"/>
    <col min="7" max="7" width="14.7109375" style="58" customWidth="1"/>
    <col min="8" max="8" width="9.140625" style="58"/>
    <col min="9" max="9" width="10.28515625" style="58" bestFit="1" customWidth="1"/>
    <col min="10" max="16384" width="9.140625" style="58"/>
  </cols>
  <sheetData>
    <row r="1" spans="2:7" ht="12.75" customHeight="1" x14ac:dyDescent="0.25">
      <c r="B1" s="402" t="str">
        <f>'Condições Gerais'!A1</f>
        <v>SECRETARIA MUNICIPAL DE CULTURA</v>
      </c>
      <c r="C1" s="402"/>
      <c r="D1" s="402"/>
      <c r="E1" s="402"/>
      <c r="F1" s="402"/>
    </row>
    <row r="2" spans="2:7" ht="12.75" customHeight="1" x14ac:dyDescent="0.25">
      <c r="B2" s="403"/>
      <c r="C2" s="403"/>
      <c r="D2" s="403"/>
      <c r="E2" s="403"/>
      <c r="F2" s="403"/>
    </row>
    <row r="3" spans="2:7" ht="4.9000000000000004" customHeight="1" x14ac:dyDescent="0.25"/>
    <row r="4" spans="2:7" ht="12.75" customHeight="1" x14ac:dyDescent="0.25">
      <c r="B4" s="407" t="s">
        <v>0</v>
      </c>
      <c r="C4" s="407"/>
      <c r="D4" s="407"/>
      <c r="E4" s="407"/>
      <c r="F4" s="407"/>
    </row>
    <row r="5" spans="2:7" ht="12.75" customHeight="1" x14ac:dyDescent="0.25">
      <c r="B5" s="65" t="s">
        <v>138</v>
      </c>
      <c r="C5" s="66"/>
      <c r="D5" s="67"/>
      <c r="E5" s="68" t="s">
        <v>42</v>
      </c>
      <c r="F5" s="68" t="s">
        <v>61</v>
      </c>
    </row>
    <row r="6" spans="2:7" ht="12.75" customHeight="1" x14ac:dyDescent="0.25">
      <c r="B6" s="144" t="str">
        <f>'Condições Gerais'!G6</f>
        <v>01- RECEPCIONISTA / ATENDENTE</v>
      </c>
      <c r="C6" s="91"/>
      <c r="D6" s="92"/>
      <c r="E6" s="141">
        <f>'Condições Gerais'!G17</f>
        <v>200</v>
      </c>
      <c r="F6" s="142">
        <f>'Condições Gerais'!G18</f>
        <v>12.026249999999999</v>
      </c>
    </row>
    <row r="7" spans="2:7" ht="4.9000000000000004" customHeight="1" x14ac:dyDescent="0.25"/>
    <row r="8" spans="2:7" ht="12.75" customHeight="1" x14ac:dyDescent="0.25">
      <c r="B8" s="158" t="s">
        <v>63</v>
      </c>
      <c r="C8" s="46"/>
      <c r="D8" s="46"/>
      <c r="E8" s="147" t="s">
        <v>164</v>
      </c>
      <c r="F8" s="93" t="s">
        <v>58</v>
      </c>
    </row>
    <row r="9" spans="2:7" ht="12.75" customHeight="1" x14ac:dyDescent="0.25">
      <c r="B9" s="94"/>
      <c r="C9" s="3">
        <v>1</v>
      </c>
      <c r="D9" s="40" t="s">
        <v>28</v>
      </c>
      <c r="E9" s="44"/>
      <c r="F9" s="4">
        <f>'Condições Gerais'!G9</f>
        <v>2405.25</v>
      </c>
    </row>
    <row r="10" spans="2:7" ht="12.75" customHeight="1" x14ac:dyDescent="0.25">
      <c r="B10" s="95"/>
      <c r="C10" s="3">
        <v>2</v>
      </c>
      <c r="D10" s="40" t="s">
        <v>47</v>
      </c>
      <c r="E10" s="44"/>
      <c r="F10" s="4">
        <f>'Condições Gerais'!G10</f>
        <v>0</v>
      </c>
    </row>
    <row r="11" spans="2:7" ht="12.75" customHeight="1" x14ac:dyDescent="0.25">
      <c r="B11" s="95"/>
      <c r="C11" s="3">
        <v>3</v>
      </c>
      <c r="D11" s="40" t="s">
        <v>48</v>
      </c>
      <c r="E11" s="44"/>
      <c r="F11" s="4">
        <f>'Condições Gerais'!G12</f>
        <v>0</v>
      </c>
    </row>
    <row r="12" spans="2:7" ht="12.75" customHeight="1" x14ac:dyDescent="0.25">
      <c r="B12" s="95"/>
      <c r="C12" s="3">
        <v>4</v>
      </c>
      <c r="D12" s="40" t="s">
        <v>31</v>
      </c>
      <c r="E12" s="146">
        <f>'Condições Gerais'!G20</f>
        <v>0</v>
      </c>
      <c r="F12" s="4">
        <f>'Condições Gerais'!G21</f>
        <v>0</v>
      </c>
      <c r="G12" s="96"/>
    </row>
    <row r="13" spans="2:7" ht="12.75" customHeight="1" x14ac:dyDescent="0.25">
      <c r="B13" s="95"/>
      <c r="C13" s="3">
        <v>5</v>
      </c>
      <c r="D13" s="40" t="s">
        <v>122</v>
      </c>
      <c r="E13" s="146">
        <f>'Condições Gerais'!G24</f>
        <v>0</v>
      </c>
      <c r="F13" s="4">
        <f>'Condições Gerais'!G25</f>
        <v>0</v>
      </c>
    </row>
    <row r="14" spans="2:7" ht="12.75" customHeight="1" x14ac:dyDescent="0.25">
      <c r="B14" s="95"/>
      <c r="C14" s="3">
        <v>6</v>
      </c>
      <c r="D14" s="40" t="s">
        <v>224</v>
      </c>
      <c r="E14" s="146">
        <f>'Condições Gerais'!G28</f>
        <v>0</v>
      </c>
      <c r="F14" s="4">
        <f>'Condições Gerais'!G29</f>
        <v>0</v>
      </c>
    </row>
    <row r="15" spans="2:7" ht="12.75" customHeight="1" x14ac:dyDescent="0.25">
      <c r="B15" s="95"/>
      <c r="C15" s="3">
        <v>7</v>
      </c>
      <c r="D15" s="40" t="s">
        <v>29</v>
      </c>
      <c r="E15" s="146">
        <f>'Condições Gerais'!G30</f>
        <v>0</v>
      </c>
      <c r="F15" s="4">
        <f>'Condições Gerais'!G31</f>
        <v>0</v>
      </c>
    </row>
    <row r="16" spans="2:7" ht="12.75" customHeight="1" x14ac:dyDescent="0.25">
      <c r="B16" s="95"/>
      <c r="C16" s="3">
        <v>8</v>
      </c>
      <c r="D16" s="160" t="s">
        <v>235</v>
      </c>
      <c r="E16" s="146">
        <f>'Condições Gerais'!G26</f>
        <v>16</v>
      </c>
      <c r="F16" s="4">
        <f>'Condições Gerais'!G27</f>
        <v>192.42</v>
      </c>
    </row>
    <row r="17" spans="2:6" ht="12.75" customHeight="1" x14ac:dyDescent="0.25">
      <c r="B17" s="97"/>
      <c r="C17" s="22">
        <v>9</v>
      </c>
      <c r="D17" s="40" t="s">
        <v>46</v>
      </c>
      <c r="E17" s="44"/>
      <c r="F17" s="4">
        <f>(F12+F13+F14+F15+F16)/24*6</f>
        <v>48.105000000000004</v>
      </c>
    </row>
    <row r="18" spans="2:6" ht="12.75" customHeight="1" x14ac:dyDescent="0.25">
      <c r="B18" s="159" t="s">
        <v>113</v>
      </c>
      <c r="C18" s="46"/>
      <c r="D18" s="46"/>
      <c r="E18" s="47"/>
      <c r="F18" s="32">
        <f>SUM(F9:F17)</f>
        <v>2645.7750000000001</v>
      </c>
    </row>
    <row r="19" spans="2:6" ht="4.9000000000000004" customHeight="1" x14ac:dyDescent="0.25"/>
    <row r="20" spans="2:6" ht="12.75" customHeight="1" x14ac:dyDescent="0.25">
      <c r="B20" s="45" t="s">
        <v>62</v>
      </c>
      <c r="C20" s="46"/>
      <c r="D20" s="47"/>
      <c r="E20" s="98" t="s">
        <v>4</v>
      </c>
      <c r="F20" s="93" t="s">
        <v>58</v>
      </c>
    </row>
    <row r="21" spans="2:6" ht="12.75" customHeight="1" x14ac:dyDescent="0.25">
      <c r="B21" s="408" t="s">
        <v>3</v>
      </c>
      <c r="C21" s="5">
        <v>1</v>
      </c>
      <c r="D21" s="36" t="str">
        <f>'Condições Gerais'!A23</f>
        <v>INSS</v>
      </c>
      <c r="E21" s="6">
        <f>'Condições Gerais'!B23</f>
        <v>0.2</v>
      </c>
      <c r="F21" s="7">
        <f>E21*$F$18</f>
        <v>529.15500000000009</v>
      </c>
    </row>
    <row r="22" spans="2:6" ht="12.75" customHeight="1" x14ac:dyDescent="0.25">
      <c r="B22" s="409"/>
      <c r="C22" s="5">
        <v>2</v>
      </c>
      <c r="D22" s="36" t="str">
        <f>'Condições Gerais'!A24</f>
        <v>SESI ou SESC</v>
      </c>
      <c r="E22" s="6">
        <f>'Condições Gerais'!B24</f>
        <v>1.4999999999999999E-2</v>
      </c>
      <c r="F22" s="7">
        <f t="shared" ref="F22:F28" si="0">E22*$F$18</f>
        <v>39.686624999999999</v>
      </c>
    </row>
    <row r="23" spans="2:6" ht="12.75" customHeight="1" x14ac:dyDescent="0.25">
      <c r="B23" s="409"/>
      <c r="C23" s="5">
        <v>3</v>
      </c>
      <c r="D23" s="36" t="str">
        <f>'Condições Gerais'!A25</f>
        <v>SENAI ou SENAC</v>
      </c>
      <c r="E23" s="6">
        <f>'Condições Gerais'!B25</f>
        <v>0.01</v>
      </c>
      <c r="F23" s="7">
        <f t="shared" si="0"/>
        <v>26.457750000000001</v>
      </c>
    </row>
    <row r="24" spans="2:6" ht="12.75" customHeight="1" x14ac:dyDescent="0.25">
      <c r="B24" s="409"/>
      <c r="C24" s="5">
        <v>4</v>
      </c>
      <c r="D24" s="36" t="str">
        <f>'Condições Gerais'!A26</f>
        <v>INCRA</v>
      </c>
      <c r="E24" s="6">
        <f>'Condições Gerais'!B26</f>
        <v>2E-3</v>
      </c>
      <c r="F24" s="7">
        <f t="shared" si="0"/>
        <v>5.29155</v>
      </c>
    </row>
    <row r="25" spans="2:6" ht="12.75" customHeight="1" x14ac:dyDescent="0.25">
      <c r="B25" s="409"/>
      <c r="C25" s="5">
        <v>5</v>
      </c>
      <c r="D25" s="36" t="str">
        <f>'Condições Gerais'!A27</f>
        <v>Salário educação</v>
      </c>
      <c r="E25" s="6">
        <f>'Condições Gerais'!B27</f>
        <v>2.5000000000000001E-2</v>
      </c>
      <c r="F25" s="7">
        <f t="shared" si="0"/>
        <v>66.144375000000011</v>
      </c>
    </row>
    <row r="26" spans="2:6" ht="12.75" customHeight="1" x14ac:dyDescent="0.25">
      <c r="B26" s="409"/>
      <c r="C26" s="5">
        <v>6</v>
      </c>
      <c r="D26" s="36" t="str">
        <f>'Condições Gerais'!A28</f>
        <v>FGTS</v>
      </c>
      <c r="E26" s="6">
        <f>'Condições Gerais'!B28</f>
        <v>0.08</v>
      </c>
      <c r="F26" s="7">
        <f t="shared" si="0"/>
        <v>211.66200000000001</v>
      </c>
    </row>
    <row r="27" spans="2:6" ht="12.75" customHeight="1" x14ac:dyDescent="0.25">
      <c r="B27" s="409"/>
      <c r="C27" s="5">
        <v>7</v>
      </c>
      <c r="D27" s="36" t="str">
        <f>'Condições Gerais'!A29</f>
        <v>Seguro acidente do trabalho</v>
      </c>
      <c r="E27" s="6">
        <f>'Condições Gerais'!B29</f>
        <v>0.02</v>
      </c>
      <c r="F27" s="7">
        <f t="shared" si="0"/>
        <v>52.915500000000002</v>
      </c>
    </row>
    <row r="28" spans="2:6" ht="12.75" customHeight="1" x14ac:dyDescent="0.25">
      <c r="B28" s="409"/>
      <c r="C28" s="5">
        <v>8</v>
      </c>
      <c r="D28" s="36" t="str">
        <f>'Condições Gerais'!A30</f>
        <v>SEBRAE</v>
      </c>
      <c r="E28" s="6">
        <f>'Condições Gerais'!B30</f>
        <v>6.0000000000000001E-3</v>
      </c>
      <c r="F28" s="7">
        <f t="shared" si="0"/>
        <v>15.874650000000001</v>
      </c>
    </row>
    <row r="29" spans="2:6" ht="12.75" customHeight="1" x14ac:dyDescent="0.25">
      <c r="B29" s="410"/>
      <c r="C29" s="8" t="s">
        <v>13</v>
      </c>
      <c r="D29" s="8"/>
      <c r="E29" s="9">
        <f>SUM(E21:E28)</f>
        <v>0.3580000000000001</v>
      </c>
      <c r="F29" s="10">
        <f>SUM(F21:F28)</f>
        <v>947.18745000000013</v>
      </c>
    </row>
    <row r="30" spans="2:6" ht="12.75" customHeight="1" x14ac:dyDescent="0.25">
      <c r="B30" s="404" t="s">
        <v>14</v>
      </c>
      <c r="C30" s="148">
        <v>9</v>
      </c>
      <c r="D30" s="36" t="str">
        <f>'Condições Gerais'!A12</f>
        <v xml:space="preserve">Férias </v>
      </c>
      <c r="E30" s="6">
        <f>'Condições Gerais'!B12</f>
        <v>0.12037037037037036</v>
      </c>
      <c r="F30" s="7">
        <f>E30*$F$18</f>
        <v>318.47291666666666</v>
      </c>
    </row>
    <row r="31" spans="2:6" ht="12.75" customHeight="1" x14ac:dyDescent="0.25">
      <c r="B31" s="404"/>
      <c r="C31" s="148">
        <v>10</v>
      </c>
      <c r="D31" s="36" t="str">
        <f>'Condições Gerais'!A13</f>
        <v>Auxílio doença</v>
      </c>
      <c r="E31" s="6">
        <f>'Condições Gerais'!B13</f>
        <v>1.6555555555555556E-2</v>
      </c>
      <c r="F31" s="7">
        <f t="shared" ref="F31:F41" si="1">E31*$F$18</f>
        <v>43.802275000000002</v>
      </c>
    </row>
    <row r="32" spans="2:6" ht="12.75" customHeight="1" x14ac:dyDescent="0.25">
      <c r="B32" s="404"/>
      <c r="C32" s="148">
        <v>11</v>
      </c>
      <c r="D32" s="36" t="str">
        <f>'Condições Gerais'!A14</f>
        <v>Licença maternidade</v>
      </c>
      <c r="E32" s="6">
        <f>'Condições Gerais'!B14</f>
        <v>5.5239999999999994E-3</v>
      </c>
      <c r="F32" s="7">
        <f t="shared" si="1"/>
        <v>14.6152611</v>
      </c>
    </row>
    <row r="33" spans="2:10" ht="12.75" customHeight="1" x14ac:dyDescent="0.25">
      <c r="B33" s="404"/>
      <c r="C33" s="148">
        <v>12</v>
      </c>
      <c r="D33" s="36" t="str">
        <f>'Condições Gerais'!A15</f>
        <v>Licença paternidade</v>
      </c>
      <c r="E33" s="6">
        <f>'Condições Gerais'!B15</f>
        <v>2.0833333333333332E-4</v>
      </c>
      <c r="F33" s="7">
        <f t="shared" si="1"/>
        <v>0.55120312500000002</v>
      </c>
    </row>
    <row r="34" spans="2:10" ht="12.75" customHeight="1" x14ac:dyDescent="0.25">
      <c r="B34" s="404"/>
      <c r="C34" s="148">
        <v>13</v>
      </c>
      <c r="D34" s="36" t="str">
        <f>'Condições Gerais'!A16</f>
        <v>Faltas legais</v>
      </c>
      <c r="E34" s="6">
        <f>'Condições Gerais'!B16</f>
        <v>8.2222222222222228E-3</v>
      </c>
      <c r="F34" s="7">
        <f t="shared" si="1"/>
        <v>21.754150000000003</v>
      </c>
    </row>
    <row r="35" spans="2:10" ht="12.75" customHeight="1" x14ac:dyDescent="0.25">
      <c r="B35" s="404"/>
      <c r="C35" s="148">
        <v>14</v>
      </c>
      <c r="D35" s="36" t="str">
        <f>'Condições Gerais'!A17</f>
        <v>Acidente de trabalho</v>
      </c>
      <c r="E35" s="6">
        <f>'Condições Gerais'!B17</f>
        <v>3.2499999999999999E-4</v>
      </c>
      <c r="F35" s="7">
        <f t="shared" si="1"/>
        <v>0.85987687499999998</v>
      </c>
    </row>
    <row r="36" spans="2:10" ht="12.75" customHeight="1" x14ac:dyDescent="0.25">
      <c r="B36" s="404"/>
      <c r="C36" s="148">
        <v>15</v>
      </c>
      <c r="D36" s="36" t="str">
        <f>'Condições Gerais'!A18</f>
        <v>Aviso Prévio</v>
      </c>
      <c r="E36" s="6">
        <f>'Condições Gerais'!B18</f>
        <v>1.9444444444444445E-2</v>
      </c>
      <c r="F36" s="7">
        <f t="shared" si="1"/>
        <v>51.445625</v>
      </c>
    </row>
    <row r="37" spans="2:10" ht="12.75" customHeight="1" x14ac:dyDescent="0.25">
      <c r="B37" s="404"/>
      <c r="C37" s="148">
        <v>16</v>
      </c>
      <c r="D37" s="36" t="str">
        <f>'Condições Gerais'!A19</f>
        <v>13º Salário</v>
      </c>
      <c r="E37" s="6">
        <f>'Condições Gerais'!B19</f>
        <v>9.0277777777777776E-2</v>
      </c>
      <c r="F37" s="7">
        <f t="shared" si="1"/>
        <v>238.85468750000001</v>
      </c>
    </row>
    <row r="38" spans="2:10" ht="12.75" customHeight="1" x14ac:dyDescent="0.25">
      <c r="B38" s="404"/>
      <c r="C38" s="11" t="s">
        <v>22</v>
      </c>
      <c r="D38" s="11"/>
      <c r="E38" s="12">
        <f>SUM(E30:E37)</f>
        <v>0.26092770370370372</v>
      </c>
      <c r="F38" s="13">
        <f>SUM(F30:F37)</f>
        <v>690.3559952666667</v>
      </c>
    </row>
    <row r="39" spans="2:10" ht="12.75" customHeight="1" x14ac:dyDescent="0.25">
      <c r="B39" s="405" t="s">
        <v>23</v>
      </c>
      <c r="C39" s="149">
        <v>17</v>
      </c>
      <c r="D39" s="37" t="str">
        <f>'Condições Gerais'!A20</f>
        <v>Indenizações  - rescisões s/ justa causa</v>
      </c>
      <c r="E39" s="14">
        <f>'Condições Gerais'!B20</f>
        <v>4.7775999999999999E-2</v>
      </c>
      <c r="F39" s="7">
        <f t="shared" si="1"/>
        <v>126.4045464</v>
      </c>
    </row>
    <row r="40" spans="2:10" ht="12.75" customHeight="1" x14ac:dyDescent="0.25">
      <c r="B40" s="405"/>
      <c r="C40" s="15" t="s">
        <v>24</v>
      </c>
      <c r="D40" s="15"/>
      <c r="E40" s="16">
        <f>SUM(E39)</f>
        <v>4.7775999999999999E-2</v>
      </c>
      <c r="F40" s="17">
        <f>SUM(F39)</f>
        <v>126.4045464</v>
      </c>
    </row>
    <row r="41" spans="2:10" s="1" customFormat="1" ht="25.5" customHeight="1" x14ac:dyDescent="0.25">
      <c r="B41" s="406" t="s">
        <v>33</v>
      </c>
      <c r="C41" s="33">
        <v>18</v>
      </c>
      <c r="D41" s="18" t="s">
        <v>37</v>
      </c>
      <c r="E41" s="34">
        <f>E29*E38</f>
        <v>9.341211792592595E-2</v>
      </c>
      <c r="F41" s="35">
        <f t="shared" si="1"/>
        <v>247.14744630546673</v>
      </c>
      <c r="G41" s="58"/>
      <c r="H41" s="58"/>
      <c r="I41" s="58"/>
      <c r="J41" s="58"/>
    </row>
    <row r="42" spans="2:10" ht="12.75" customHeight="1" x14ac:dyDescent="0.25">
      <c r="B42" s="406"/>
      <c r="C42" s="19" t="s">
        <v>25</v>
      </c>
      <c r="D42" s="19"/>
      <c r="E42" s="20">
        <f>SUM(E41)</f>
        <v>9.341211792592595E-2</v>
      </c>
      <c r="F42" s="21">
        <f>SUM(F41)</f>
        <v>247.14744630546673</v>
      </c>
    </row>
    <row r="43" spans="2:10" ht="12.75" customHeight="1" x14ac:dyDescent="0.25">
      <c r="B43" s="48" t="s">
        <v>114</v>
      </c>
      <c r="C43" s="49"/>
      <c r="D43" s="50"/>
      <c r="E43" s="20">
        <f>E29+E38+E40+E42</f>
        <v>0.76011582162962976</v>
      </c>
      <c r="F43" s="21">
        <f>F29+F38+F40+F42</f>
        <v>2011.0954379721336</v>
      </c>
    </row>
    <row r="44" spans="2:10" ht="4.9000000000000004" customHeight="1" x14ac:dyDescent="0.25"/>
    <row r="45" spans="2:10" ht="25.5" customHeight="1" x14ac:dyDescent="0.25">
      <c r="B45" s="99" t="s">
        <v>142</v>
      </c>
      <c r="C45" s="100"/>
      <c r="D45" s="100"/>
      <c r="E45" s="101" t="s">
        <v>118</v>
      </c>
      <c r="F45" s="93" t="s">
        <v>58</v>
      </c>
    </row>
    <row r="46" spans="2:10" ht="12.75" customHeight="1" x14ac:dyDescent="0.25">
      <c r="B46" s="94"/>
      <c r="C46" s="22">
        <v>1</v>
      </c>
      <c r="D46" s="51" t="s">
        <v>140</v>
      </c>
      <c r="E46" s="61">
        <f>(F9*0.06)</f>
        <v>144.315</v>
      </c>
      <c r="F46" s="23">
        <f>IF(('Condições Gerais'!G33-E46)&lt;0,0,'Condições Gerais'!G33-E46)</f>
        <v>202.185</v>
      </c>
      <c r="G46" s="150"/>
    </row>
    <row r="47" spans="2:10" ht="12.75" customHeight="1" x14ac:dyDescent="0.25">
      <c r="B47" s="95"/>
      <c r="C47" s="22">
        <v>2</v>
      </c>
      <c r="D47" s="62" t="s">
        <v>124</v>
      </c>
      <c r="E47" s="61">
        <f>'Condições Gerais'!G37*'Condições Gerais'!G36</f>
        <v>119.85599999999999</v>
      </c>
      <c r="F47" s="23">
        <f>'Condições Gerais'!G37-E47</f>
        <v>479.42399999999998</v>
      </c>
    </row>
    <row r="48" spans="2:10" ht="12.75" customHeight="1" x14ac:dyDescent="0.25">
      <c r="B48" s="95"/>
      <c r="C48" s="22">
        <v>3</v>
      </c>
      <c r="D48" s="63" t="s">
        <v>133</v>
      </c>
      <c r="E48" s="139" t="s">
        <v>41</v>
      </c>
      <c r="F48" s="23">
        <f>'Condições Gerais'!G41</f>
        <v>47.254583333333336</v>
      </c>
    </row>
    <row r="49" spans="2:6" ht="12.75" customHeight="1" x14ac:dyDescent="0.25">
      <c r="B49" s="95"/>
      <c r="C49" s="22">
        <v>4</v>
      </c>
      <c r="D49" s="62" t="str">
        <f>'Condições Gerais'!D22</f>
        <v>INTRAJORNADA (indenizatória)</v>
      </c>
      <c r="E49" s="139" t="s">
        <v>41</v>
      </c>
      <c r="F49" s="23">
        <f>'Condições Gerais'!G23</f>
        <v>0</v>
      </c>
    </row>
    <row r="50" spans="2:6" ht="12.75" customHeight="1" x14ac:dyDescent="0.25">
      <c r="B50" s="95"/>
      <c r="C50" s="22">
        <v>5</v>
      </c>
      <c r="D50" s="62" t="str">
        <f>'Condições Gerais'!D42</f>
        <v>PAF (CCT2024, Cláus. 14ª, §4º)</v>
      </c>
      <c r="E50" s="139" t="s">
        <v>41</v>
      </c>
      <c r="F50" s="23">
        <f>'Condições Gerais'!G43</f>
        <v>87.18</v>
      </c>
    </row>
    <row r="51" spans="2:6" ht="12.75" customHeight="1" x14ac:dyDescent="0.25">
      <c r="B51" s="95"/>
      <c r="C51" s="22">
        <v>6</v>
      </c>
      <c r="D51" s="62" t="str">
        <f>'Condições Gerais'!D44</f>
        <v>Contr. Ass. Patronal (CCT2024, Cláus. 55ª, caput)</v>
      </c>
      <c r="E51" s="139" t="s">
        <v>41</v>
      </c>
      <c r="F51" s="23">
        <f>'Condições Gerais'!G45</f>
        <v>0.87083333333333324</v>
      </c>
    </row>
    <row r="52" spans="2:6" ht="12.75" customHeight="1" x14ac:dyDescent="0.25">
      <c r="B52" s="95"/>
      <c r="C52" s="22">
        <v>7</v>
      </c>
      <c r="D52" s="62" t="str">
        <f>'Condições Gerais'!D46</f>
        <v>Outros custos ou benefícios da CCT</v>
      </c>
      <c r="E52" s="139" t="s">
        <v>41</v>
      </c>
      <c r="F52" s="23">
        <f>'Condições Gerais'!G47</f>
        <v>0</v>
      </c>
    </row>
    <row r="53" spans="2:6" ht="12.75" customHeight="1" x14ac:dyDescent="0.25">
      <c r="B53" s="96"/>
      <c r="C53" s="22">
        <v>8</v>
      </c>
      <c r="D53" s="62" t="str">
        <f>'Condições Gerais'!D48</f>
        <v>Outros custos ou benefícios da CCT</v>
      </c>
      <c r="E53" s="139" t="s">
        <v>41</v>
      </c>
      <c r="F53" s="23">
        <f>'Condições Gerais'!G49</f>
        <v>0</v>
      </c>
    </row>
    <row r="54" spans="2:6" ht="12.75" customHeight="1" x14ac:dyDescent="0.25">
      <c r="B54" s="96"/>
      <c r="C54" s="22">
        <v>9</v>
      </c>
      <c r="D54" s="62" t="str">
        <f>'Condições Gerais'!D50</f>
        <v>Outros custos ou benefícios da CCT</v>
      </c>
      <c r="E54" s="139" t="s">
        <v>41</v>
      </c>
      <c r="F54" s="23">
        <f>'Condições Gerais'!G51</f>
        <v>0</v>
      </c>
    </row>
    <row r="55" spans="2:6" ht="12.75" customHeight="1" x14ac:dyDescent="0.25">
      <c r="B55" s="96"/>
      <c r="C55" s="22">
        <v>10</v>
      </c>
      <c r="D55" s="62" t="str">
        <f>'Condições Gerais'!D52</f>
        <v>Outros custos ou benefícios da CCT</v>
      </c>
      <c r="E55" s="139" t="s">
        <v>41</v>
      </c>
      <c r="F55" s="23">
        <f>'Condições Gerais'!G53</f>
        <v>0</v>
      </c>
    </row>
    <row r="56" spans="2:6" ht="12.75" customHeight="1" x14ac:dyDescent="0.25">
      <c r="B56" s="96"/>
      <c r="C56" s="22">
        <v>11</v>
      </c>
      <c r="D56" s="62" t="str">
        <f>'Condições Gerais'!D54</f>
        <v>Outros custos ou benefícios da CCT</v>
      </c>
      <c r="E56" s="139" t="s">
        <v>41</v>
      </c>
      <c r="F56" s="23">
        <f>'Condições Gerais'!G55</f>
        <v>0</v>
      </c>
    </row>
    <row r="57" spans="2:6" ht="12.75" customHeight="1" x14ac:dyDescent="0.25">
      <c r="B57" s="48" t="s">
        <v>143</v>
      </c>
      <c r="C57" s="49"/>
      <c r="D57" s="49"/>
      <c r="E57" s="50"/>
      <c r="F57" s="30">
        <f>SUM(F46:F56)</f>
        <v>816.91441666666663</v>
      </c>
    </row>
    <row r="58" spans="2:6" ht="4.9000000000000004" customHeight="1" x14ac:dyDescent="0.25"/>
    <row r="59" spans="2:6" ht="12.75" customHeight="1" x14ac:dyDescent="0.25">
      <c r="B59" s="45" t="s">
        <v>145</v>
      </c>
      <c r="C59" s="46"/>
      <c r="D59" s="46"/>
      <c r="E59" s="102"/>
      <c r="F59" s="93" t="s">
        <v>58</v>
      </c>
    </row>
    <row r="60" spans="2:6" ht="12.75" customHeight="1" x14ac:dyDescent="0.25">
      <c r="B60" s="40" t="s">
        <v>113</v>
      </c>
      <c r="C60" s="41"/>
      <c r="D60" s="41"/>
      <c r="E60" s="102"/>
      <c r="F60" s="38">
        <f>F18</f>
        <v>2645.7750000000001</v>
      </c>
    </row>
    <row r="61" spans="2:6" ht="12.75" customHeight="1" x14ac:dyDescent="0.25">
      <c r="B61" s="42" t="s">
        <v>114</v>
      </c>
      <c r="C61" s="43"/>
      <c r="D61" s="43"/>
      <c r="E61" s="102"/>
      <c r="F61" s="39">
        <f>F43</f>
        <v>2011.0954379721336</v>
      </c>
    </row>
    <row r="62" spans="2:6" ht="12.75" customHeight="1" x14ac:dyDescent="0.25">
      <c r="B62" s="42" t="s">
        <v>143</v>
      </c>
      <c r="C62" s="43"/>
      <c r="D62" s="43"/>
      <c r="E62" s="102"/>
      <c r="F62" s="39">
        <f>F57</f>
        <v>816.91441666666663</v>
      </c>
    </row>
    <row r="63" spans="2:6" ht="12.75" customHeight="1" x14ac:dyDescent="0.25">
      <c r="B63" s="65" t="s">
        <v>64</v>
      </c>
      <c r="C63" s="88"/>
      <c r="D63" s="88"/>
      <c r="E63" s="64"/>
      <c r="F63" s="60">
        <f>SUM(F60:F62)</f>
        <v>5473.7848546388004</v>
      </c>
    </row>
    <row r="64" spans="2:6" ht="4.9000000000000004" customHeight="1" x14ac:dyDescent="0.25"/>
    <row r="65" spans="2:6" ht="12.75" customHeight="1" x14ac:dyDescent="0.25">
      <c r="B65" s="65" t="s">
        <v>273</v>
      </c>
      <c r="C65" s="66"/>
      <c r="D65" s="66"/>
      <c r="E65" s="103" t="s">
        <v>4</v>
      </c>
      <c r="F65" s="93" t="s">
        <v>58</v>
      </c>
    </row>
    <row r="66" spans="2:6" ht="12.75" customHeight="1" x14ac:dyDescent="0.25">
      <c r="B66" s="65" t="s">
        <v>274</v>
      </c>
      <c r="C66" s="88"/>
      <c r="D66" s="88"/>
      <c r="E66" s="132">
        <f>'Condições Gerais'!B38</f>
        <v>0</v>
      </c>
      <c r="F66" s="68">
        <f>E66*F63</f>
        <v>0</v>
      </c>
    </row>
    <row r="67" spans="2:6" ht="4.9000000000000004" customHeight="1" x14ac:dyDescent="0.25"/>
    <row r="68" spans="2:6" ht="12.75" customHeight="1" x14ac:dyDescent="0.25">
      <c r="B68" s="65" t="s">
        <v>261</v>
      </c>
      <c r="C68" s="66"/>
      <c r="D68" s="66"/>
      <c r="E68" s="166"/>
      <c r="F68" s="93" t="s">
        <v>58</v>
      </c>
    </row>
    <row r="69" spans="2:6" ht="12.75" customHeight="1" x14ac:dyDescent="0.25">
      <c r="B69" s="65" t="s">
        <v>262</v>
      </c>
      <c r="C69" s="88"/>
      <c r="D69" s="88"/>
      <c r="E69" s="64"/>
      <c r="F69" s="68">
        <f>F63+F66</f>
        <v>5473.7848546388004</v>
      </c>
    </row>
    <row r="70" spans="2:6" ht="4.9000000000000004" customHeight="1" x14ac:dyDescent="0.25"/>
    <row r="71" spans="2:6" ht="12.75" customHeight="1" x14ac:dyDescent="0.25">
      <c r="B71" s="45" t="s">
        <v>263</v>
      </c>
      <c r="C71" s="46"/>
      <c r="D71" s="47"/>
      <c r="E71" s="103" t="s">
        <v>4</v>
      </c>
      <c r="F71" s="93" t="s">
        <v>38</v>
      </c>
    </row>
    <row r="72" spans="2:6" ht="12.75" customHeight="1" x14ac:dyDescent="0.25">
      <c r="B72" s="28"/>
      <c r="C72" s="3">
        <v>1</v>
      </c>
      <c r="D72" s="24" t="str">
        <f>'Condições Gerais'!A33</f>
        <v>PIS</v>
      </c>
      <c r="E72" s="25">
        <f>'Condições Gerais'!B33</f>
        <v>1.6500000000000001E-2</v>
      </c>
      <c r="F72" s="26">
        <f>E72*F$79</f>
        <v>105.32647242162125</v>
      </c>
    </row>
    <row r="73" spans="2:6" ht="12.75" customHeight="1" x14ac:dyDescent="0.25">
      <c r="B73" s="29"/>
      <c r="C73" s="3">
        <v>2</v>
      </c>
      <c r="D73" s="24" t="str">
        <f>'Condições Gerais'!A34</f>
        <v>COFINS</v>
      </c>
      <c r="E73" s="25">
        <f>'Condições Gerais'!B34</f>
        <v>7.5999999999999998E-2</v>
      </c>
      <c r="F73" s="26">
        <f>E73*F$79</f>
        <v>485.14011539655843</v>
      </c>
    </row>
    <row r="74" spans="2:6" ht="12.75" customHeight="1" x14ac:dyDescent="0.25">
      <c r="B74" s="29"/>
      <c r="C74" s="3">
        <v>3</v>
      </c>
      <c r="D74" s="24" t="str">
        <f>'Condições Gerais'!A35</f>
        <v>ISS</v>
      </c>
      <c r="E74" s="25">
        <f>'Condições Gerais'!B35</f>
        <v>0.05</v>
      </c>
      <c r="F74" s="26">
        <f>E74*F$79</f>
        <v>319.17112855036743</v>
      </c>
    </row>
    <row r="75" spans="2:6" ht="12.75" customHeight="1" x14ac:dyDescent="0.25">
      <c r="B75" s="48" t="s">
        <v>34</v>
      </c>
      <c r="C75" s="49"/>
      <c r="D75" s="50"/>
      <c r="E75" s="27">
        <f>SUM(E72:E74)</f>
        <v>0.14250000000000002</v>
      </c>
      <c r="F75" s="31">
        <f>E75*F$79</f>
        <v>909.63771636854722</v>
      </c>
    </row>
    <row r="76" spans="2:6" ht="4.9000000000000004" customHeight="1" x14ac:dyDescent="0.25"/>
    <row r="77" spans="2:6" ht="12.75" customHeight="1" x14ac:dyDescent="0.25">
      <c r="B77" s="45" t="s">
        <v>264</v>
      </c>
      <c r="C77" s="46"/>
      <c r="D77" s="47"/>
      <c r="E77" s="103" t="s">
        <v>4</v>
      </c>
      <c r="F77" s="93" t="s">
        <v>38</v>
      </c>
    </row>
    <row r="78" spans="2:6" s="104" customFormat="1" ht="12.75" customHeight="1" x14ac:dyDescent="0.25">
      <c r="B78" s="69" t="s">
        <v>265</v>
      </c>
      <c r="C78" s="70"/>
      <c r="D78" s="71"/>
      <c r="E78" s="72">
        <f>1-E75</f>
        <v>0.85749999999999993</v>
      </c>
      <c r="F78" s="140" t="s">
        <v>41</v>
      </c>
    </row>
    <row r="79" spans="2:6" s="104" customFormat="1" ht="12.75" customHeight="1" x14ac:dyDescent="0.25">
      <c r="B79" s="69" t="s">
        <v>125</v>
      </c>
      <c r="C79" s="70"/>
      <c r="D79" s="71"/>
      <c r="E79" s="72">
        <v>1</v>
      </c>
      <c r="F79" s="73">
        <f>F69/E78</f>
        <v>6383.4225710073479</v>
      </c>
    </row>
    <row r="80" spans="2:6" s="104" customFormat="1" ht="12.75" customHeight="1" x14ac:dyDescent="0.25">
      <c r="B80" s="74" t="s">
        <v>266</v>
      </c>
      <c r="C80" s="75"/>
      <c r="D80" s="76"/>
      <c r="E80" s="77"/>
      <c r="F80" s="78"/>
    </row>
    <row r="81" spans="2:6" ht="4.9000000000000004" customHeight="1" x14ac:dyDescent="0.25"/>
    <row r="82" spans="2:6" s="104" customFormat="1" ht="25.5" customHeight="1" x14ac:dyDescent="0.25">
      <c r="B82" s="69" t="s">
        <v>268</v>
      </c>
      <c r="C82" s="70"/>
      <c r="D82" s="71"/>
      <c r="E82" s="2" t="s">
        <v>60</v>
      </c>
      <c r="F82" s="68" t="s">
        <v>36</v>
      </c>
    </row>
    <row r="83" spans="2:6" ht="12.75" customHeight="1" x14ac:dyDescent="0.25">
      <c r="B83" s="74"/>
      <c r="C83" s="75"/>
      <c r="D83" s="76"/>
      <c r="E83" s="143">
        <f>'Condições Gerais'!G14</f>
        <v>7</v>
      </c>
      <c r="F83" s="68">
        <f>F79*E83</f>
        <v>44683.957997051431</v>
      </c>
    </row>
    <row r="84" spans="2:6" ht="4.9000000000000004" customHeight="1" x14ac:dyDescent="0.25"/>
    <row r="85" spans="2:6" s="104" customFormat="1" ht="25.5" customHeight="1" x14ac:dyDescent="0.25">
      <c r="B85" s="69" t="s">
        <v>267</v>
      </c>
      <c r="C85" s="70"/>
      <c r="D85" s="71"/>
      <c r="E85" s="2" t="s">
        <v>35</v>
      </c>
      <c r="F85" s="68" t="s">
        <v>59</v>
      </c>
    </row>
    <row r="86" spans="2:6" ht="12.75" customHeight="1" x14ac:dyDescent="0.25">
      <c r="B86" s="74"/>
      <c r="C86" s="75"/>
      <c r="D86" s="76"/>
      <c r="E86" s="105">
        <f>'Condições Gerais'!B8</f>
        <v>12</v>
      </c>
      <c r="F86" s="68">
        <f>F83*E86</f>
        <v>536207.49596461724</v>
      </c>
    </row>
  </sheetData>
  <sheetProtection algorithmName="SHA-512" hashValue="ZCbkZbYrDeS0AoWHBh5Z/EyUihXbPtbDdcHdWujPK+z+XuAHtyt/E+5LiGCgmXRaxyJO3oyppbh1q61s3A0TcQ==" saltValue="byKjkQHGEdW6NLALEGn1IQ==" spinCount="100000" sheet="1" objects="1" scenarios="1"/>
  <mergeCells count="7">
    <mergeCell ref="B1:F1"/>
    <mergeCell ref="B2:F2"/>
    <mergeCell ref="B30:B38"/>
    <mergeCell ref="B39:B40"/>
    <mergeCell ref="B41:B42"/>
    <mergeCell ref="B4:F4"/>
    <mergeCell ref="B21:B29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J86"/>
  <sheetViews>
    <sheetView showGridLines="0" workbookViewId="0">
      <selection activeCell="I22" sqref="I22"/>
    </sheetView>
  </sheetViews>
  <sheetFormatPr defaultColWidth="9.140625" defaultRowHeight="12.75" customHeight="1" x14ac:dyDescent="0.25"/>
  <cols>
    <col min="1" max="1" width="2.140625" style="58" customWidth="1"/>
    <col min="2" max="2" width="10.42578125" style="58" customWidth="1"/>
    <col min="3" max="3" width="5.140625" style="58" customWidth="1"/>
    <col min="4" max="4" width="39.7109375" style="58" customWidth="1"/>
    <col min="5" max="5" width="14.7109375" style="58" customWidth="1"/>
    <col min="6" max="6" width="16.140625" style="59" customWidth="1"/>
    <col min="7" max="7" width="14.7109375" style="58" customWidth="1"/>
    <col min="8" max="8" width="9.140625" style="58"/>
    <col min="9" max="9" width="10.28515625" style="58" bestFit="1" customWidth="1"/>
    <col min="10" max="16384" width="9.140625" style="58"/>
  </cols>
  <sheetData>
    <row r="1" spans="2:7" ht="12.75" customHeight="1" x14ac:dyDescent="0.25">
      <c r="B1" s="402" t="str">
        <f>'Condições Gerais'!A1</f>
        <v>SECRETARIA MUNICIPAL DE CULTURA</v>
      </c>
      <c r="C1" s="402"/>
      <c r="D1" s="402"/>
      <c r="E1" s="402"/>
      <c r="F1" s="402"/>
    </row>
    <row r="2" spans="2:7" ht="12.75" customHeight="1" x14ac:dyDescent="0.25">
      <c r="B2" s="411"/>
      <c r="C2" s="411"/>
      <c r="D2" s="411"/>
      <c r="E2" s="411"/>
      <c r="F2" s="411"/>
    </row>
    <row r="3" spans="2:7" ht="4.9000000000000004" customHeight="1" x14ac:dyDescent="0.25"/>
    <row r="4" spans="2:7" ht="12.75" customHeight="1" x14ac:dyDescent="0.25">
      <c r="B4" s="407" t="s">
        <v>0</v>
      </c>
      <c r="C4" s="407"/>
      <c r="D4" s="407"/>
      <c r="E4" s="407"/>
      <c r="F4" s="407"/>
    </row>
    <row r="5" spans="2:7" ht="12.75" customHeight="1" x14ac:dyDescent="0.25">
      <c r="B5" s="65" t="s">
        <v>138</v>
      </c>
      <c r="C5" s="66"/>
      <c r="D5" s="67"/>
      <c r="E5" s="68" t="s">
        <v>42</v>
      </c>
      <c r="F5" s="68" t="s">
        <v>61</v>
      </c>
    </row>
    <row r="6" spans="2:7" ht="12.75" customHeight="1" x14ac:dyDescent="0.25">
      <c r="B6" s="144" t="str">
        <f>'Condições Gerais'!H6</f>
        <v>02-  SUPERVISOR</v>
      </c>
      <c r="C6" s="91"/>
      <c r="D6" s="92"/>
      <c r="E6" s="141">
        <f>'Condições Gerais'!H17</f>
        <v>220</v>
      </c>
      <c r="F6" s="142">
        <f>'Condições Gerais'!H18</f>
        <v>13.5885</v>
      </c>
    </row>
    <row r="7" spans="2:7" ht="4.9000000000000004" customHeight="1" x14ac:dyDescent="0.25"/>
    <row r="8" spans="2:7" ht="12.75" customHeight="1" x14ac:dyDescent="0.25">
      <c r="B8" s="158" t="s">
        <v>63</v>
      </c>
      <c r="C8" s="46"/>
      <c r="D8" s="46"/>
      <c r="E8" s="147" t="s">
        <v>164</v>
      </c>
      <c r="F8" s="93" t="s">
        <v>58</v>
      </c>
    </row>
    <row r="9" spans="2:7" ht="12.75" customHeight="1" x14ac:dyDescent="0.25">
      <c r="B9" s="94"/>
      <c r="C9" s="3">
        <v>1</v>
      </c>
      <c r="D9" s="40" t="s">
        <v>28</v>
      </c>
      <c r="E9" s="44"/>
      <c r="F9" s="4">
        <f>'Condições Gerais'!H9</f>
        <v>2989.47</v>
      </c>
    </row>
    <row r="10" spans="2:7" ht="12.75" customHeight="1" x14ac:dyDescent="0.25">
      <c r="B10" s="95"/>
      <c r="C10" s="3">
        <v>2</v>
      </c>
      <c r="D10" s="40" t="s">
        <v>47</v>
      </c>
      <c r="E10" s="44"/>
      <c r="F10" s="4">
        <f>'Condições Gerais'!H10</f>
        <v>0</v>
      </c>
    </row>
    <row r="11" spans="2:7" ht="12.75" customHeight="1" x14ac:dyDescent="0.25">
      <c r="B11" s="95"/>
      <c r="C11" s="3">
        <v>3</v>
      </c>
      <c r="D11" s="40" t="s">
        <v>48</v>
      </c>
      <c r="E11" s="44"/>
      <c r="F11" s="4">
        <f>'Condições Gerais'!H12</f>
        <v>0</v>
      </c>
    </row>
    <row r="12" spans="2:7" ht="12.75" customHeight="1" x14ac:dyDescent="0.25">
      <c r="B12" s="95"/>
      <c r="C12" s="3">
        <v>4</v>
      </c>
      <c r="D12" s="40" t="s">
        <v>31</v>
      </c>
      <c r="E12" s="146">
        <f>'Condições Gerais'!H20</f>
        <v>0</v>
      </c>
      <c r="F12" s="4">
        <f>'Condições Gerais'!H21</f>
        <v>0</v>
      </c>
      <c r="G12" s="96"/>
    </row>
    <row r="13" spans="2:7" ht="12.75" customHeight="1" x14ac:dyDescent="0.25">
      <c r="B13" s="95"/>
      <c r="C13" s="3">
        <v>5</v>
      </c>
      <c r="D13" s="40" t="s">
        <v>122</v>
      </c>
      <c r="E13" s="146">
        <f>'Condições Gerais'!H24</f>
        <v>0</v>
      </c>
      <c r="F13" s="4">
        <f>'Condições Gerais'!H25</f>
        <v>0</v>
      </c>
    </row>
    <row r="14" spans="2:7" ht="12.75" customHeight="1" x14ac:dyDescent="0.25">
      <c r="B14" s="95"/>
      <c r="C14" s="3">
        <v>6</v>
      </c>
      <c r="D14" s="40" t="s">
        <v>224</v>
      </c>
      <c r="E14" s="146">
        <f>'Condições Gerais'!H28</f>
        <v>0</v>
      </c>
      <c r="F14" s="4">
        <f>'Condições Gerais'!H29</f>
        <v>0</v>
      </c>
    </row>
    <row r="15" spans="2:7" ht="12.75" customHeight="1" x14ac:dyDescent="0.25">
      <c r="B15" s="95"/>
      <c r="C15" s="3">
        <v>7</v>
      </c>
      <c r="D15" s="40" t="s">
        <v>29</v>
      </c>
      <c r="E15" s="146">
        <f>'Condições Gerais'!H30</f>
        <v>0</v>
      </c>
      <c r="F15" s="4">
        <f>'Condições Gerais'!H31</f>
        <v>0</v>
      </c>
    </row>
    <row r="16" spans="2:7" ht="12.75" customHeight="1" x14ac:dyDescent="0.25">
      <c r="B16" s="95"/>
      <c r="C16" s="3">
        <v>8</v>
      </c>
      <c r="D16" s="160" t="s">
        <v>235</v>
      </c>
      <c r="E16" s="146">
        <f>'Condições Gerais'!H26</f>
        <v>16</v>
      </c>
      <c r="F16" s="4">
        <f>'Condições Gerais'!H27</f>
        <v>217.416</v>
      </c>
    </row>
    <row r="17" spans="2:6" ht="12.75" customHeight="1" x14ac:dyDescent="0.25">
      <c r="B17" s="97"/>
      <c r="C17" s="22">
        <v>9</v>
      </c>
      <c r="D17" s="40" t="s">
        <v>46</v>
      </c>
      <c r="E17" s="44"/>
      <c r="F17" s="4">
        <f>(F12+F13+F14+F15+F16)/24*6</f>
        <v>54.353999999999999</v>
      </c>
    </row>
    <row r="18" spans="2:6" ht="12.75" customHeight="1" x14ac:dyDescent="0.25">
      <c r="B18" s="159" t="s">
        <v>113</v>
      </c>
      <c r="C18" s="46"/>
      <c r="D18" s="46"/>
      <c r="E18" s="47"/>
      <c r="F18" s="32">
        <f>SUM(F9:F17)</f>
        <v>3261.24</v>
      </c>
    </row>
    <row r="19" spans="2:6" ht="4.9000000000000004" customHeight="1" x14ac:dyDescent="0.25"/>
    <row r="20" spans="2:6" ht="12.75" customHeight="1" x14ac:dyDescent="0.25">
      <c r="B20" s="45" t="s">
        <v>62</v>
      </c>
      <c r="C20" s="46"/>
      <c r="D20" s="47"/>
      <c r="E20" s="98" t="s">
        <v>4</v>
      </c>
      <c r="F20" s="93" t="s">
        <v>58</v>
      </c>
    </row>
    <row r="21" spans="2:6" ht="12.75" customHeight="1" x14ac:dyDescent="0.25">
      <c r="B21" s="408" t="s">
        <v>3</v>
      </c>
      <c r="C21" s="5">
        <v>1</v>
      </c>
      <c r="D21" s="36" t="str">
        <f>'Condições Gerais'!A23</f>
        <v>INSS</v>
      </c>
      <c r="E21" s="6">
        <f>'Condições Gerais'!B23</f>
        <v>0.2</v>
      </c>
      <c r="F21" s="7">
        <f>E21*$F$18</f>
        <v>652.24800000000005</v>
      </c>
    </row>
    <row r="22" spans="2:6" ht="12.75" customHeight="1" x14ac:dyDescent="0.25">
      <c r="B22" s="409"/>
      <c r="C22" s="5">
        <v>2</v>
      </c>
      <c r="D22" s="36" t="str">
        <f>'Condições Gerais'!A24</f>
        <v>SESI ou SESC</v>
      </c>
      <c r="E22" s="6">
        <f>'Condições Gerais'!B24</f>
        <v>1.4999999999999999E-2</v>
      </c>
      <c r="F22" s="7">
        <f t="shared" ref="F22:F28" si="0">E22*$F$18</f>
        <v>48.918599999999998</v>
      </c>
    </row>
    <row r="23" spans="2:6" ht="12.75" customHeight="1" x14ac:dyDescent="0.25">
      <c r="B23" s="409"/>
      <c r="C23" s="5">
        <v>3</v>
      </c>
      <c r="D23" s="36" t="str">
        <f>'Condições Gerais'!A25</f>
        <v>SENAI ou SENAC</v>
      </c>
      <c r="E23" s="6">
        <f>'Condições Gerais'!B25</f>
        <v>0.01</v>
      </c>
      <c r="F23" s="7">
        <f t="shared" si="0"/>
        <v>32.612400000000001</v>
      </c>
    </row>
    <row r="24" spans="2:6" ht="12.75" customHeight="1" x14ac:dyDescent="0.25">
      <c r="B24" s="409"/>
      <c r="C24" s="5">
        <v>4</v>
      </c>
      <c r="D24" s="36" t="str">
        <f>'Condições Gerais'!A26</f>
        <v>INCRA</v>
      </c>
      <c r="E24" s="6">
        <f>'Condições Gerais'!B26</f>
        <v>2E-3</v>
      </c>
      <c r="F24" s="7">
        <f t="shared" si="0"/>
        <v>6.5224799999999998</v>
      </c>
    </row>
    <row r="25" spans="2:6" ht="12.75" customHeight="1" x14ac:dyDescent="0.25">
      <c r="B25" s="409"/>
      <c r="C25" s="5">
        <v>5</v>
      </c>
      <c r="D25" s="36" t="str">
        <f>'Condições Gerais'!A27</f>
        <v>Salário educação</v>
      </c>
      <c r="E25" s="6">
        <f>'Condições Gerais'!B27</f>
        <v>2.5000000000000001E-2</v>
      </c>
      <c r="F25" s="7">
        <f t="shared" si="0"/>
        <v>81.531000000000006</v>
      </c>
    </row>
    <row r="26" spans="2:6" ht="12.75" customHeight="1" x14ac:dyDescent="0.25">
      <c r="B26" s="409"/>
      <c r="C26" s="5">
        <v>6</v>
      </c>
      <c r="D26" s="36" t="str">
        <f>'Condições Gerais'!A28</f>
        <v>FGTS</v>
      </c>
      <c r="E26" s="6">
        <f>'Condições Gerais'!B28</f>
        <v>0.08</v>
      </c>
      <c r="F26" s="7">
        <f t="shared" si="0"/>
        <v>260.89920000000001</v>
      </c>
    </row>
    <row r="27" spans="2:6" ht="12.75" customHeight="1" x14ac:dyDescent="0.25">
      <c r="B27" s="409"/>
      <c r="C27" s="5">
        <v>7</v>
      </c>
      <c r="D27" s="36" t="str">
        <f>'Condições Gerais'!A29</f>
        <v>Seguro acidente do trabalho</v>
      </c>
      <c r="E27" s="6">
        <f>'Condições Gerais'!B29</f>
        <v>0.02</v>
      </c>
      <c r="F27" s="7">
        <f t="shared" si="0"/>
        <v>65.224800000000002</v>
      </c>
    </row>
    <row r="28" spans="2:6" ht="12.75" customHeight="1" x14ac:dyDescent="0.25">
      <c r="B28" s="409"/>
      <c r="C28" s="5">
        <v>8</v>
      </c>
      <c r="D28" s="36" t="str">
        <f>'Condições Gerais'!A30</f>
        <v>SEBRAE</v>
      </c>
      <c r="E28" s="6">
        <f>'Condições Gerais'!B30</f>
        <v>6.0000000000000001E-3</v>
      </c>
      <c r="F28" s="7">
        <f t="shared" si="0"/>
        <v>19.567439999999998</v>
      </c>
    </row>
    <row r="29" spans="2:6" ht="12.75" customHeight="1" x14ac:dyDescent="0.25">
      <c r="B29" s="410"/>
      <c r="C29" s="8" t="s">
        <v>13</v>
      </c>
      <c r="D29" s="8"/>
      <c r="E29" s="9">
        <f>SUM(E21:E28)</f>
        <v>0.3580000000000001</v>
      </c>
      <c r="F29" s="10">
        <f>SUM(F21:F28)</f>
        <v>1167.5239200000001</v>
      </c>
    </row>
    <row r="30" spans="2:6" ht="12.75" customHeight="1" x14ac:dyDescent="0.25">
      <c r="B30" s="404" t="s">
        <v>14</v>
      </c>
      <c r="C30" s="148">
        <v>9</v>
      </c>
      <c r="D30" s="36" t="str">
        <f>'Condições Gerais'!A12</f>
        <v xml:space="preserve">Férias </v>
      </c>
      <c r="E30" s="6">
        <f>'Condições Gerais'!B12</f>
        <v>0.12037037037037036</v>
      </c>
      <c r="F30" s="7">
        <f>E30*$F$18</f>
        <v>392.55666666666662</v>
      </c>
    </row>
    <row r="31" spans="2:6" ht="12.75" customHeight="1" x14ac:dyDescent="0.25">
      <c r="B31" s="404"/>
      <c r="C31" s="148">
        <v>10</v>
      </c>
      <c r="D31" s="36" t="str">
        <f>'Condições Gerais'!A13</f>
        <v>Auxílio doença</v>
      </c>
      <c r="E31" s="6">
        <f>'Condições Gerais'!B13</f>
        <v>1.6555555555555556E-2</v>
      </c>
      <c r="F31" s="7">
        <f t="shared" ref="F31:F41" si="1">E31*$F$18</f>
        <v>53.991639999999997</v>
      </c>
    </row>
    <row r="32" spans="2:6" ht="12.75" customHeight="1" x14ac:dyDescent="0.25">
      <c r="B32" s="404"/>
      <c r="C32" s="148">
        <v>11</v>
      </c>
      <c r="D32" s="36" t="str">
        <f>'Condições Gerais'!A14</f>
        <v>Licença maternidade</v>
      </c>
      <c r="E32" s="6">
        <f>'Condições Gerais'!B14</f>
        <v>5.5239999999999994E-3</v>
      </c>
      <c r="F32" s="7">
        <f t="shared" si="1"/>
        <v>18.015089759999995</v>
      </c>
    </row>
    <row r="33" spans="2:10" ht="12.75" customHeight="1" x14ac:dyDescent="0.25">
      <c r="B33" s="404"/>
      <c r="C33" s="148">
        <v>12</v>
      </c>
      <c r="D33" s="36" t="str">
        <f>'Condições Gerais'!A15</f>
        <v>Licença paternidade</v>
      </c>
      <c r="E33" s="6">
        <f>'Condições Gerais'!B15</f>
        <v>2.0833333333333332E-4</v>
      </c>
      <c r="F33" s="7">
        <f t="shared" si="1"/>
        <v>0.67942499999999995</v>
      </c>
    </row>
    <row r="34" spans="2:10" ht="12.75" customHeight="1" x14ac:dyDescent="0.25">
      <c r="B34" s="404"/>
      <c r="C34" s="148">
        <v>13</v>
      </c>
      <c r="D34" s="36" t="str">
        <f>'Condições Gerais'!A16</f>
        <v>Faltas legais</v>
      </c>
      <c r="E34" s="6">
        <f>'Condições Gerais'!B16</f>
        <v>8.2222222222222228E-3</v>
      </c>
      <c r="F34" s="7">
        <f t="shared" si="1"/>
        <v>26.814640000000001</v>
      </c>
    </row>
    <row r="35" spans="2:10" ht="12.75" customHeight="1" x14ac:dyDescent="0.25">
      <c r="B35" s="404"/>
      <c r="C35" s="148">
        <v>14</v>
      </c>
      <c r="D35" s="36" t="str">
        <f>'Condições Gerais'!A17</f>
        <v>Acidente de trabalho</v>
      </c>
      <c r="E35" s="6">
        <f>'Condições Gerais'!B17</f>
        <v>3.2499999999999999E-4</v>
      </c>
      <c r="F35" s="7">
        <f t="shared" si="1"/>
        <v>1.0599029999999998</v>
      </c>
    </row>
    <row r="36" spans="2:10" ht="12.75" customHeight="1" x14ac:dyDescent="0.25">
      <c r="B36" s="404"/>
      <c r="C36" s="148">
        <v>15</v>
      </c>
      <c r="D36" s="36" t="str">
        <f>'Condições Gerais'!A18</f>
        <v>Aviso Prévio</v>
      </c>
      <c r="E36" s="6">
        <f>'Condições Gerais'!B18</f>
        <v>1.9444444444444445E-2</v>
      </c>
      <c r="F36" s="7">
        <f t="shared" si="1"/>
        <v>63.412999999999997</v>
      </c>
    </row>
    <row r="37" spans="2:10" ht="12.75" customHeight="1" x14ac:dyDescent="0.25">
      <c r="B37" s="404"/>
      <c r="C37" s="148">
        <v>16</v>
      </c>
      <c r="D37" s="36" t="str">
        <f>'Condições Gerais'!A19</f>
        <v>13º Salário</v>
      </c>
      <c r="E37" s="6">
        <f>'Condições Gerais'!B19</f>
        <v>9.0277777777777776E-2</v>
      </c>
      <c r="F37" s="7">
        <f t="shared" si="1"/>
        <v>294.41749999999996</v>
      </c>
    </row>
    <row r="38" spans="2:10" ht="12.75" customHeight="1" x14ac:dyDescent="0.25">
      <c r="B38" s="404"/>
      <c r="C38" s="11" t="s">
        <v>22</v>
      </c>
      <c r="D38" s="11"/>
      <c r="E38" s="12">
        <f>SUM(E30:E37)</f>
        <v>0.26092770370370372</v>
      </c>
      <c r="F38" s="13">
        <f>SUM(F30:F37)</f>
        <v>850.94786442666646</v>
      </c>
    </row>
    <row r="39" spans="2:10" ht="12.75" customHeight="1" x14ac:dyDescent="0.25">
      <c r="B39" s="405" t="s">
        <v>23</v>
      </c>
      <c r="C39" s="149">
        <v>17</v>
      </c>
      <c r="D39" s="37" t="str">
        <f>'Condições Gerais'!A20</f>
        <v>Indenizações  - rescisões s/ justa causa</v>
      </c>
      <c r="E39" s="14">
        <f>'Condições Gerais'!B20</f>
        <v>4.7775999999999999E-2</v>
      </c>
      <c r="F39" s="7">
        <f t="shared" si="1"/>
        <v>155.80900223999998</v>
      </c>
    </row>
    <row r="40" spans="2:10" ht="12.75" customHeight="1" x14ac:dyDescent="0.25">
      <c r="B40" s="405"/>
      <c r="C40" s="15" t="s">
        <v>24</v>
      </c>
      <c r="D40" s="15"/>
      <c r="E40" s="16">
        <f>SUM(E39)</f>
        <v>4.7775999999999999E-2</v>
      </c>
      <c r="F40" s="17">
        <f>SUM(F39)</f>
        <v>155.80900223999998</v>
      </c>
    </row>
    <row r="41" spans="2:10" s="1" customFormat="1" ht="25.5" customHeight="1" x14ac:dyDescent="0.25">
      <c r="B41" s="406" t="s">
        <v>33</v>
      </c>
      <c r="C41" s="33">
        <v>18</v>
      </c>
      <c r="D41" s="18" t="s">
        <v>37</v>
      </c>
      <c r="E41" s="34">
        <f>E29*E38</f>
        <v>9.341211792592595E-2</v>
      </c>
      <c r="F41" s="35">
        <f t="shared" si="1"/>
        <v>304.63933546474675</v>
      </c>
      <c r="G41" s="58"/>
      <c r="H41" s="58"/>
      <c r="I41" s="58"/>
      <c r="J41" s="58"/>
    </row>
    <row r="42" spans="2:10" ht="12.75" customHeight="1" x14ac:dyDescent="0.25">
      <c r="B42" s="406"/>
      <c r="C42" s="19" t="s">
        <v>25</v>
      </c>
      <c r="D42" s="19"/>
      <c r="E42" s="20">
        <f>SUM(E41)</f>
        <v>9.341211792592595E-2</v>
      </c>
      <c r="F42" s="21">
        <f>SUM(F41)</f>
        <v>304.63933546474675</v>
      </c>
    </row>
    <row r="43" spans="2:10" ht="12.75" customHeight="1" x14ac:dyDescent="0.25">
      <c r="B43" s="48" t="s">
        <v>114</v>
      </c>
      <c r="C43" s="49"/>
      <c r="D43" s="50"/>
      <c r="E43" s="20">
        <f>E29+E38+E40+E42</f>
        <v>0.76011582162962976</v>
      </c>
      <c r="F43" s="21">
        <f>F29+F38+F40+F42</f>
        <v>2478.9201221314133</v>
      </c>
    </row>
    <row r="44" spans="2:10" ht="4.9000000000000004" customHeight="1" x14ac:dyDescent="0.25"/>
    <row r="45" spans="2:10" ht="25.5" customHeight="1" x14ac:dyDescent="0.25">
      <c r="B45" s="99" t="s">
        <v>142</v>
      </c>
      <c r="C45" s="100"/>
      <c r="D45" s="100"/>
      <c r="E45" s="101" t="s">
        <v>118</v>
      </c>
      <c r="F45" s="93" t="s">
        <v>58</v>
      </c>
    </row>
    <row r="46" spans="2:10" ht="12.75" customHeight="1" x14ac:dyDescent="0.25">
      <c r="B46" s="94"/>
      <c r="C46" s="22">
        <v>1</v>
      </c>
      <c r="D46" s="51" t="s">
        <v>140</v>
      </c>
      <c r="E46" s="61">
        <f>(F9*0.06)</f>
        <v>179.36819999999997</v>
      </c>
      <c r="F46" s="23">
        <f>IF(('Condições Gerais'!H33-E46)&lt;0,0,'Condições Gerais'!H33-E46)</f>
        <v>167.13180000000003</v>
      </c>
      <c r="G46" s="150"/>
    </row>
    <row r="47" spans="2:10" ht="12.75" customHeight="1" x14ac:dyDescent="0.25">
      <c r="B47" s="95"/>
      <c r="C47" s="22">
        <v>2</v>
      </c>
      <c r="D47" s="62" t="s">
        <v>124</v>
      </c>
      <c r="E47" s="61">
        <f>'Condições Gerais'!H37*'Condições Gerais'!H36</f>
        <v>119.85599999999999</v>
      </c>
      <c r="F47" s="23">
        <f>'Condições Gerais'!H37-E47</f>
        <v>479.42399999999998</v>
      </c>
    </row>
    <row r="48" spans="2:10" ht="12.75" customHeight="1" x14ac:dyDescent="0.25">
      <c r="B48" s="95"/>
      <c r="C48" s="22">
        <v>3</v>
      </c>
      <c r="D48" s="63" t="s">
        <v>133</v>
      </c>
      <c r="E48" s="139" t="s">
        <v>41</v>
      </c>
      <c r="F48" s="23">
        <f>'Condições Gerais'!H41</f>
        <v>0</v>
      </c>
    </row>
    <row r="49" spans="2:6" ht="12.75" customHeight="1" x14ac:dyDescent="0.25">
      <c r="B49" s="95"/>
      <c r="C49" s="22">
        <v>4</v>
      </c>
      <c r="D49" s="62" t="str">
        <f>'Condições Gerais'!D22</f>
        <v>INTRAJORNADA (indenizatória)</v>
      </c>
      <c r="E49" s="139" t="s">
        <v>41</v>
      </c>
      <c r="F49" s="23">
        <f>'Condições Gerais'!H23</f>
        <v>0</v>
      </c>
    </row>
    <row r="50" spans="2:6" ht="12.75" customHeight="1" x14ac:dyDescent="0.25">
      <c r="B50" s="95"/>
      <c r="C50" s="22">
        <v>5</v>
      </c>
      <c r="D50" s="62" t="str">
        <f>'Condições Gerais'!D42</f>
        <v>PAF (CCT2024, Cláus. 14ª, §4º)</v>
      </c>
      <c r="E50" s="139" t="s">
        <v>41</v>
      </c>
      <c r="F50" s="23">
        <f>'Condições Gerais'!H43</f>
        <v>87.18</v>
      </c>
    </row>
    <row r="51" spans="2:6" ht="12.75" customHeight="1" x14ac:dyDescent="0.25">
      <c r="B51" s="95"/>
      <c r="C51" s="22">
        <v>6</v>
      </c>
      <c r="D51" s="62" t="str">
        <f>'Condições Gerais'!D44</f>
        <v>Contr. Ass. Patronal (CCT2024, Cláus. 55ª, caput)</v>
      </c>
      <c r="E51" s="139" t="s">
        <v>41</v>
      </c>
      <c r="F51" s="23">
        <f>'Condições Gerais'!H45</f>
        <v>0.87083333333333324</v>
      </c>
    </row>
    <row r="52" spans="2:6" ht="12.75" customHeight="1" x14ac:dyDescent="0.25">
      <c r="B52" s="95"/>
      <c r="C52" s="22">
        <v>7</v>
      </c>
      <c r="D52" s="62" t="str">
        <f>'Condições Gerais'!D46</f>
        <v>Outros custos ou benefícios da CCT</v>
      </c>
      <c r="E52" s="139" t="s">
        <v>41</v>
      </c>
      <c r="F52" s="23">
        <f>'Condições Gerais'!H47</f>
        <v>0</v>
      </c>
    </row>
    <row r="53" spans="2:6" ht="12.75" customHeight="1" x14ac:dyDescent="0.25">
      <c r="B53" s="96"/>
      <c r="C53" s="22">
        <v>8</v>
      </c>
      <c r="D53" s="62" t="str">
        <f>'Condições Gerais'!D48</f>
        <v>Outros custos ou benefícios da CCT</v>
      </c>
      <c r="E53" s="139" t="s">
        <v>41</v>
      </c>
      <c r="F53" s="23">
        <f>'Condições Gerais'!H49</f>
        <v>0</v>
      </c>
    </row>
    <row r="54" spans="2:6" ht="12.75" customHeight="1" x14ac:dyDescent="0.25">
      <c r="B54" s="96"/>
      <c r="C54" s="22">
        <v>9</v>
      </c>
      <c r="D54" s="62" t="str">
        <f>'Condições Gerais'!D50</f>
        <v>Outros custos ou benefícios da CCT</v>
      </c>
      <c r="E54" s="139" t="s">
        <v>41</v>
      </c>
      <c r="F54" s="23">
        <f>'Condições Gerais'!H51</f>
        <v>0</v>
      </c>
    </row>
    <row r="55" spans="2:6" ht="12.75" customHeight="1" x14ac:dyDescent="0.25">
      <c r="B55" s="96"/>
      <c r="C55" s="22">
        <v>10</v>
      </c>
      <c r="D55" s="62" t="str">
        <f>'Condições Gerais'!D52</f>
        <v>Outros custos ou benefícios da CCT</v>
      </c>
      <c r="E55" s="139" t="s">
        <v>41</v>
      </c>
      <c r="F55" s="23">
        <f>'Condições Gerais'!H53</f>
        <v>0</v>
      </c>
    </row>
    <row r="56" spans="2:6" ht="12.75" customHeight="1" x14ac:dyDescent="0.25">
      <c r="B56" s="96"/>
      <c r="C56" s="22">
        <v>11</v>
      </c>
      <c r="D56" s="62" t="str">
        <f>'Condições Gerais'!D54</f>
        <v>Outros custos ou benefícios da CCT</v>
      </c>
      <c r="E56" s="139" t="s">
        <v>41</v>
      </c>
      <c r="F56" s="23">
        <f>'Condições Gerais'!H55</f>
        <v>0</v>
      </c>
    </row>
    <row r="57" spans="2:6" ht="12.75" customHeight="1" x14ac:dyDescent="0.25">
      <c r="B57" s="48" t="s">
        <v>143</v>
      </c>
      <c r="C57" s="49"/>
      <c r="D57" s="49"/>
      <c r="E57" s="50"/>
      <c r="F57" s="30">
        <f>SUM(F46:F56)</f>
        <v>734.60663333333321</v>
      </c>
    </row>
    <row r="58" spans="2:6" ht="4.9000000000000004" customHeight="1" x14ac:dyDescent="0.25"/>
    <row r="59" spans="2:6" ht="12.75" customHeight="1" x14ac:dyDescent="0.25">
      <c r="B59" s="45" t="s">
        <v>145</v>
      </c>
      <c r="C59" s="46"/>
      <c r="D59" s="46"/>
      <c r="E59" s="102"/>
      <c r="F59" s="93" t="s">
        <v>58</v>
      </c>
    </row>
    <row r="60" spans="2:6" ht="12.75" customHeight="1" x14ac:dyDescent="0.25">
      <c r="B60" s="40" t="s">
        <v>113</v>
      </c>
      <c r="C60" s="41"/>
      <c r="D60" s="41"/>
      <c r="E60" s="102"/>
      <c r="F60" s="38">
        <f>F18</f>
        <v>3261.24</v>
      </c>
    </row>
    <row r="61" spans="2:6" ht="12.75" customHeight="1" x14ac:dyDescent="0.25">
      <c r="B61" s="42" t="s">
        <v>114</v>
      </c>
      <c r="C61" s="43"/>
      <c r="D61" s="43"/>
      <c r="E61" s="102"/>
      <c r="F61" s="39">
        <f>F43</f>
        <v>2478.9201221314133</v>
      </c>
    </row>
    <row r="62" spans="2:6" ht="12.75" customHeight="1" x14ac:dyDescent="0.25">
      <c r="B62" s="42" t="s">
        <v>143</v>
      </c>
      <c r="C62" s="43"/>
      <c r="D62" s="43"/>
      <c r="E62" s="102"/>
      <c r="F62" s="39">
        <f>F57</f>
        <v>734.60663333333321</v>
      </c>
    </row>
    <row r="63" spans="2:6" ht="12.75" customHeight="1" x14ac:dyDescent="0.25">
      <c r="B63" s="65" t="s">
        <v>64</v>
      </c>
      <c r="C63" s="88"/>
      <c r="D63" s="88"/>
      <c r="E63" s="64"/>
      <c r="F63" s="60">
        <f>SUM(F60:F62)</f>
        <v>6474.766755464746</v>
      </c>
    </row>
    <row r="64" spans="2:6" ht="4.9000000000000004" customHeight="1" x14ac:dyDescent="0.25"/>
    <row r="65" spans="2:6" ht="12.75" customHeight="1" x14ac:dyDescent="0.25">
      <c r="B65" s="65" t="s">
        <v>273</v>
      </c>
      <c r="C65" s="66"/>
      <c r="D65" s="66"/>
      <c r="E65" s="103" t="s">
        <v>4</v>
      </c>
      <c r="F65" s="93" t="s">
        <v>58</v>
      </c>
    </row>
    <row r="66" spans="2:6" ht="12.75" customHeight="1" x14ac:dyDescent="0.25">
      <c r="B66" s="65" t="s">
        <v>274</v>
      </c>
      <c r="C66" s="88"/>
      <c r="D66" s="88"/>
      <c r="E66" s="164">
        <f>'Condições Gerais'!B38</f>
        <v>0</v>
      </c>
      <c r="F66" s="165">
        <f>E66*F63</f>
        <v>0</v>
      </c>
    </row>
    <row r="67" spans="2:6" ht="4.9000000000000004" customHeight="1" x14ac:dyDescent="0.25"/>
    <row r="68" spans="2:6" ht="12.75" customHeight="1" x14ac:dyDescent="0.25">
      <c r="B68" s="65" t="s">
        <v>261</v>
      </c>
      <c r="C68" s="66"/>
      <c r="D68" s="66"/>
      <c r="E68" s="166"/>
      <c r="F68" s="93" t="s">
        <v>58</v>
      </c>
    </row>
    <row r="69" spans="2:6" ht="12.75" customHeight="1" x14ac:dyDescent="0.25">
      <c r="B69" s="65" t="s">
        <v>262</v>
      </c>
      <c r="C69" s="88"/>
      <c r="D69" s="88"/>
      <c r="E69" s="167"/>
      <c r="F69" s="165">
        <f>F63+F66</f>
        <v>6474.766755464746</v>
      </c>
    </row>
    <row r="70" spans="2:6" ht="4.9000000000000004" customHeight="1" x14ac:dyDescent="0.25"/>
    <row r="71" spans="2:6" ht="12.75" customHeight="1" x14ac:dyDescent="0.25">
      <c r="B71" s="45" t="s">
        <v>263</v>
      </c>
      <c r="C71" s="46"/>
      <c r="D71" s="47"/>
      <c r="E71" s="103" t="s">
        <v>4</v>
      </c>
      <c r="F71" s="93" t="s">
        <v>38</v>
      </c>
    </row>
    <row r="72" spans="2:6" ht="12.75" customHeight="1" x14ac:dyDescent="0.25">
      <c r="B72" s="28"/>
      <c r="C72" s="3">
        <v>1</v>
      </c>
      <c r="D72" s="24" t="str">
        <f>'Condições Gerais'!A33</f>
        <v>PIS</v>
      </c>
      <c r="E72" s="25">
        <f>'Condições Gerais'!B33</f>
        <v>1.6500000000000001E-2</v>
      </c>
      <c r="F72" s="26">
        <f>E72*F$79</f>
        <v>124.58734864742662</v>
      </c>
    </row>
    <row r="73" spans="2:6" ht="12.75" customHeight="1" x14ac:dyDescent="0.25">
      <c r="B73" s="29"/>
      <c r="C73" s="3">
        <v>2</v>
      </c>
      <c r="D73" s="24" t="str">
        <f>'Condições Gerais'!A34</f>
        <v>COFINS</v>
      </c>
      <c r="E73" s="25">
        <f>'Condições Gerais'!B34</f>
        <v>7.5999999999999998E-2</v>
      </c>
      <c r="F73" s="26">
        <f>E73*F$79</f>
        <v>573.85687861844985</v>
      </c>
    </row>
    <row r="74" spans="2:6" ht="12.75" customHeight="1" x14ac:dyDescent="0.25">
      <c r="B74" s="29"/>
      <c r="C74" s="3">
        <v>3</v>
      </c>
      <c r="D74" s="24" t="str">
        <f>'Condições Gerais'!A35</f>
        <v>ISS</v>
      </c>
      <c r="E74" s="25">
        <f>'Condições Gerais'!B35</f>
        <v>0.05</v>
      </c>
      <c r="F74" s="26">
        <f>E74*F$79</f>
        <v>377.53742014371704</v>
      </c>
    </row>
    <row r="75" spans="2:6" ht="12.75" customHeight="1" x14ac:dyDescent="0.25">
      <c r="B75" s="48" t="s">
        <v>34</v>
      </c>
      <c r="C75" s="49"/>
      <c r="D75" s="50"/>
      <c r="E75" s="27">
        <f>SUM(E72:E74)</f>
        <v>0.14250000000000002</v>
      </c>
      <c r="F75" s="31">
        <f>E75*F$79</f>
        <v>1075.9816474095935</v>
      </c>
    </row>
    <row r="76" spans="2:6" ht="4.9000000000000004" customHeight="1" x14ac:dyDescent="0.25"/>
    <row r="77" spans="2:6" ht="12.75" customHeight="1" x14ac:dyDescent="0.25">
      <c r="B77" s="45" t="s">
        <v>264</v>
      </c>
      <c r="C77" s="46"/>
      <c r="D77" s="47"/>
      <c r="E77" s="103" t="s">
        <v>4</v>
      </c>
      <c r="F77" s="93" t="s">
        <v>38</v>
      </c>
    </row>
    <row r="78" spans="2:6" s="104" customFormat="1" ht="12.75" customHeight="1" x14ac:dyDescent="0.25">
      <c r="B78" s="69" t="s">
        <v>265</v>
      </c>
      <c r="C78" s="70"/>
      <c r="D78" s="71"/>
      <c r="E78" s="72">
        <f>1-E75</f>
        <v>0.85749999999999993</v>
      </c>
      <c r="F78" s="140" t="s">
        <v>41</v>
      </c>
    </row>
    <row r="79" spans="2:6" s="104" customFormat="1" ht="12.75" customHeight="1" x14ac:dyDescent="0.25">
      <c r="B79" s="69" t="s">
        <v>125</v>
      </c>
      <c r="C79" s="70"/>
      <c r="D79" s="71"/>
      <c r="E79" s="72">
        <v>1</v>
      </c>
      <c r="F79" s="73">
        <f>F69/E78</f>
        <v>7550.7484028743402</v>
      </c>
    </row>
    <row r="80" spans="2:6" s="104" customFormat="1" ht="12.75" customHeight="1" x14ac:dyDescent="0.25">
      <c r="B80" s="74" t="s">
        <v>266</v>
      </c>
      <c r="C80" s="75"/>
      <c r="D80" s="76"/>
      <c r="E80" s="77"/>
      <c r="F80" s="78"/>
    </row>
    <row r="81" spans="2:6" ht="4.9000000000000004" customHeight="1" x14ac:dyDescent="0.25"/>
    <row r="82" spans="2:6" s="104" customFormat="1" ht="25.5" customHeight="1" x14ac:dyDescent="0.25">
      <c r="B82" s="69" t="s">
        <v>268</v>
      </c>
      <c r="C82" s="70"/>
      <c r="D82" s="71"/>
      <c r="E82" s="2" t="s">
        <v>60</v>
      </c>
      <c r="F82" s="68" t="s">
        <v>36</v>
      </c>
    </row>
    <row r="83" spans="2:6" ht="12.75" customHeight="1" x14ac:dyDescent="0.25">
      <c r="B83" s="74"/>
      <c r="C83" s="75"/>
      <c r="D83" s="76"/>
      <c r="E83" s="143">
        <f>'Condições Gerais'!H14</f>
        <v>2</v>
      </c>
      <c r="F83" s="68">
        <f>F79*E83</f>
        <v>15101.49680574868</v>
      </c>
    </row>
    <row r="84" spans="2:6" ht="4.9000000000000004" customHeight="1" x14ac:dyDescent="0.25"/>
    <row r="85" spans="2:6" s="104" customFormat="1" ht="25.5" customHeight="1" x14ac:dyDescent="0.25">
      <c r="B85" s="69" t="s">
        <v>267</v>
      </c>
      <c r="C85" s="70"/>
      <c r="D85" s="71"/>
      <c r="E85" s="2" t="s">
        <v>35</v>
      </c>
      <c r="F85" s="68" t="s">
        <v>59</v>
      </c>
    </row>
    <row r="86" spans="2:6" ht="12.75" customHeight="1" x14ac:dyDescent="0.25">
      <c r="B86" s="74"/>
      <c r="C86" s="75"/>
      <c r="D86" s="76"/>
      <c r="E86" s="105">
        <f>'Condições Gerais'!B8</f>
        <v>12</v>
      </c>
      <c r="F86" s="68">
        <f>F83*E86</f>
        <v>181217.96166898415</v>
      </c>
    </row>
  </sheetData>
  <sheetProtection algorithmName="SHA-512" hashValue="JlAot/jPo749D4lsdurCqhCuVtcHPUxXIUgUnl80DoF4kJ/rrvcAyxUlQAPjLEiJhC5sZqGT2/niTsRCxiYZ0g==" saltValue="BhSGE5H6W2RU95NvTqEPZw==" spinCount="100000" sheet="1" objects="1" scenarios="1"/>
  <mergeCells count="7">
    <mergeCell ref="B39:B40"/>
    <mergeCell ref="B41:B42"/>
    <mergeCell ref="B1:F1"/>
    <mergeCell ref="B2:F2"/>
    <mergeCell ref="B4:F4"/>
    <mergeCell ref="B21:B29"/>
    <mergeCell ref="B30:B3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J86"/>
  <sheetViews>
    <sheetView showGridLines="0" workbookViewId="0">
      <selection activeCell="A2" sqref="A2:J2"/>
    </sheetView>
  </sheetViews>
  <sheetFormatPr defaultColWidth="9.140625" defaultRowHeight="12.75" customHeight="1" x14ac:dyDescent="0.25"/>
  <cols>
    <col min="1" max="1" width="2.140625" style="58" customWidth="1"/>
    <col min="2" max="2" width="10.42578125" style="58" customWidth="1"/>
    <col min="3" max="3" width="5.140625" style="58" customWidth="1"/>
    <col min="4" max="4" width="39.7109375" style="58" customWidth="1"/>
    <col min="5" max="5" width="14.7109375" style="58" customWidth="1"/>
    <col min="6" max="6" width="16.140625" style="59" customWidth="1"/>
    <col min="7" max="7" width="14.7109375" style="58" customWidth="1"/>
    <col min="8" max="8" width="9.140625" style="58"/>
    <col min="9" max="9" width="10.28515625" style="58" bestFit="1" customWidth="1"/>
    <col min="10" max="16384" width="9.140625" style="58"/>
  </cols>
  <sheetData>
    <row r="1" spans="2:7" ht="12.75" customHeight="1" x14ac:dyDescent="0.25">
      <c r="B1" s="402" t="str">
        <f>'Condições Gerais'!A1</f>
        <v>SECRETARIA MUNICIPAL DE CULTURA</v>
      </c>
      <c r="C1" s="402"/>
      <c r="D1" s="402"/>
      <c r="E1" s="402"/>
      <c r="F1" s="402"/>
    </row>
    <row r="2" spans="2:7" ht="12.75" customHeight="1" x14ac:dyDescent="0.25">
      <c r="B2" s="411"/>
      <c r="C2" s="411"/>
      <c r="D2" s="411"/>
      <c r="E2" s="411"/>
      <c r="F2" s="411"/>
    </row>
    <row r="3" spans="2:7" ht="4.9000000000000004" customHeight="1" x14ac:dyDescent="0.25"/>
    <row r="4" spans="2:7" ht="12.75" customHeight="1" x14ac:dyDescent="0.25">
      <c r="B4" s="407" t="s">
        <v>0</v>
      </c>
      <c r="C4" s="407"/>
      <c r="D4" s="407"/>
      <c r="E4" s="407"/>
      <c r="F4" s="407"/>
    </row>
    <row r="5" spans="2:7" ht="12.75" customHeight="1" x14ac:dyDescent="0.25">
      <c r="B5" s="65" t="s">
        <v>138</v>
      </c>
      <c r="C5" s="66"/>
      <c r="D5" s="67"/>
      <c r="E5" s="68" t="s">
        <v>42</v>
      </c>
      <c r="F5" s="68" t="s">
        <v>61</v>
      </c>
    </row>
    <row r="6" spans="2:7" ht="12.75" customHeight="1" x14ac:dyDescent="0.25">
      <c r="B6" s="144" t="str">
        <f>'Condições Gerais'!I6</f>
        <v>03-  XXXXXX</v>
      </c>
      <c r="C6" s="91"/>
      <c r="D6" s="92"/>
      <c r="E6" s="141">
        <f>'Condições Gerais'!I17</f>
        <v>220</v>
      </c>
      <c r="F6" s="142">
        <f>'Condições Gerais'!I18</f>
        <v>0</v>
      </c>
    </row>
    <row r="7" spans="2:7" ht="4.9000000000000004" customHeight="1" x14ac:dyDescent="0.25"/>
    <row r="8" spans="2:7" ht="12.75" customHeight="1" x14ac:dyDescent="0.25">
      <c r="B8" s="158" t="s">
        <v>63</v>
      </c>
      <c r="C8" s="46"/>
      <c r="D8" s="46"/>
      <c r="E8" s="147" t="s">
        <v>164</v>
      </c>
      <c r="F8" s="93" t="s">
        <v>58</v>
      </c>
    </row>
    <row r="9" spans="2:7" ht="12.75" customHeight="1" x14ac:dyDescent="0.25">
      <c r="B9" s="94"/>
      <c r="C9" s="3">
        <v>1</v>
      </c>
      <c r="D9" s="40" t="s">
        <v>28</v>
      </c>
      <c r="E9" s="44"/>
      <c r="F9" s="4">
        <f>'Condições Gerais'!I9</f>
        <v>0</v>
      </c>
    </row>
    <row r="10" spans="2:7" ht="12.75" customHeight="1" x14ac:dyDescent="0.25">
      <c r="B10" s="95"/>
      <c r="C10" s="3">
        <v>2</v>
      </c>
      <c r="D10" s="40" t="s">
        <v>47</v>
      </c>
      <c r="E10" s="44"/>
      <c r="F10" s="4">
        <f>'Condições Gerais'!I10</f>
        <v>0</v>
      </c>
    </row>
    <row r="11" spans="2:7" ht="12.75" customHeight="1" x14ac:dyDescent="0.25">
      <c r="B11" s="95"/>
      <c r="C11" s="3">
        <v>3</v>
      </c>
      <c r="D11" s="40" t="s">
        <v>48</v>
      </c>
      <c r="E11" s="44"/>
      <c r="F11" s="4">
        <f>'Condições Gerais'!I12</f>
        <v>0</v>
      </c>
    </row>
    <row r="12" spans="2:7" ht="12.75" customHeight="1" x14ac:dyDescent="0.25">
      <c r="B12" s="95"/>
      <c r="C12" s="3">
        <v>4</v>
      </c>
      <c r="D12" s="40" t="s">
        <v>31</v>
      </c>
      <c r="E12" s="146">
        <f>'Condições Gerais'!I20</f>
        <v>0</v>
      </c>
      <c r="F12" s="4">
        <f>'Condições Gerais'!I21</f>
        <v>0</v>
      </c>
      <c r="G12" s="96"/>
    </row>
    <row r="13" spans="2:7" ht="12.75" customHeight="1" x14ac:dyDescent="0.25">
      <c r="B13" s="95"/>
      <c r="C13" s="3">
        <v>5</v>
      </c>
      <c r="D13" s="40" t="s">
        <v>122</v>
      </c>
      <c r="E13" s="146">
        <f>'Condições Gerais'!I24</f>
        <v>0</v>
      </c>
      <c r="F13" s="4">
        <f>'Condições Gerais'!I25</f>
        <v>0</v>
      </c>
    </row>
    <row r="14" spans="2:7" ht="12.75" customHeight="1" x14ac:dyDescent="0.25">
      <c r="B14" s="95"/>
      <c r="C14" s="3">
        <v>6</v>
      </c>
      <c r="D14" s="40" t="s">
        <v>224</v>
      </c>
      <c r="E14" s="146">
        <f>'Condições Gerais'!I28</f>
        <v>0</v>
      </c>
      <c r="F14" s="4">
        <f>'Condições Gerais'!I29</f>
        <v>0</v>
      </c>
    </row>
    <row r="15" spans="2:7" ht="12.75" customHeight="1" x14ac:dyDescent="0.25">
      <c r="B15" s="95"/>
      <c r="C15" s="3">
        <v>7</v>
      </c>
      <c r="D15" s="40" t="s">
        <v>29</v>
      </c>
      <c r="E15" s="146">
        <f>'Condições Gerais'!I30</f>
        <v>0</v>
      </c>
      <c r="F15" s="4">
        <f>'Condições Gerais'!I31</f>
        <v>0</v>
      </c>
    </row>
    <row r="16" spans="2:7" ht="12.75" customHeight="1" x14ac:dyDescent="0.25">
      <c r="B16" s="95"/>
      <c r="C16" s="3">
        <v>8</v>
      </c>
      <c r="D16" s="160" t="s">
        <v>235</v>
      </c>
      <c r="E16" s="146">
        <f>'Condições Gerais'!I26</f>
        <v>16</v>
      </c>
      <c r="F16" s="4">
        <f>'Condições Gerais'!I27</f>
        <v>0</v>
      </c>
    </row>
    <row r="17" spans="2:6" ht="12.75" customHeight="1" x14ac:dyDescent="0.25">
      <c r="B17" s="97"/>
      <c r="C17" s="22">
        <v>9</v>
      </c>
      <c r="D17" s="40" t="s">
        <v>46</v>
      </c>
      <c r="E17" s="44"/>
      <c r="F17" s="4">
        <f>(F12+F13+F14+F15+F16)/24*6</f>
        <v>0</v>
      </c>
    </row>
    <row r="18" spans="2:6" ht="12.75" customHeight="1" x14ac:dyDescent="0.25">
      <c r="B18" s="159" t="s">
        <v>113</v>
      </c>
      <c r="C18" s="46"/>
      <c r="D18" s="46"/>
      <c r="E18" s="47"/>
      <c r="F18" s="32">
        <f>SUM(F9:F17)</f>
        <v>0</v>
      </c>
    </row>
    <row r="19" spans="2:6" ht="4.9000000000000004" customHeight="1" x14ac:dyDescent="0.25"/>
    <row r="20" spans="2:6" ht="12.75" customHeight="1" x14ac:dyDescent="0.25">
      <c r="B20" s="45" t="s">
        <v>62</v>
      </c>
      <c r="C20" s="46"/>
      <c r="D20" s="47"/>
      <c r="E20" s="98" t="s">
        <v>4</v>
      </c>
      <c r="F20" s="93" t="s">
        <v>58</v>
      </c>
    </row>
    <row r="21" spans="2:6" ht="12.75" customHeight="1" x14ac:dyDescent="0.25">
      <c r="B21" s="408" t="s">
        <v>3</v>
      </c>
      <c r="C21" s="5">
        <v>1</v>
      </c>
      <c r="D21" s="36" t="str">
        <f>'Condições Gerais'!A23</f>
        <v>INSS</v>
      </c>
      <c r="E21" s="6">
        <f>'Condições Gerais'!B23</f>
        <v>0.2</v>
      </c>
      <c r="F21" s="7">
        <f>E21*$F$18</f>
        <v>0</v>
      </c>
    </row>
    <row r="22" spans="2:6" ht="12.75" customHeight="1" x14ac:dyDescent="0.25">
      <c r="B22" s="409"/>
      <c r="C22" s="5">
        <v>2</v>
      </c>
      <c r="D22" s="36" t="str">
        <f>'Condições Gerais'!A24</f>
        <v>SESI ou SESC</v>
      </c>
      <c r="E22" s="6">
        <f>'Condições Gerais'!B24</f>
        <v>1.4999999999999999E-2</v>
      </c>
      <c r="F22" s="7">
        <f t="shared" ref="F22:F28" si="0">E22*$F$18</f>
        <v>0</v>
      </c>
    </row>
    <row r="23" spans="2:6" ht="12.75" customHeight="1" x14ac:dyDescent="0.25">
      <c r="B23" s="409"/>
      <c r="C23" s="5">
        <v>3</v>
      </c>
      <c r="D23" s="36" t="str">
        <f>'Condições Gerais'!A25</f>
        <v>SENAI ou SENAC</v>
      </c>
      <c r="E23" s="6">
        <f>'Condições Gerais'!B25</f>
        <v>0.01</v>
      </c>
      <c r="F23" s="7">
        <f t="shared" si="0"/>
        <v>0</v>
      </c>
    </row>
    <row r="24" spans="2:6" ht="12.75" customHeight="1" x14ac:dyDescent="0.25">
      <c r="B24" s="409"/>
      <c r="C24" s="5">
        <v>4</v>
      </c>
      <c r="D24" s="36" t="str">
        <f>'Condições Gerais'!A26</f>
        <v>INCRA</v>
      </c>
      <c r="E24" s="6">
        <f>'Condições Gerais'!B26</f>
        <v>2E-3</v>
      </c>
      <c r="F24" s="7">
        <f t="shared" si="0"/>
        <v>0</v>
      </c>
    </row>
    <row r="25" spans="2:6" ht="12.75" customHeight="1" x14ac:dyDescent="0.25">
      <c r="B25" s="409"/>
      <c r="C25" s="5">
        <v>5</v>
      </c>
      <c r="D25" s="36" t="str">
        <f>'Condições Gerais'!A27</f>
        <v>Salário educação</v>
      </c>
      <c r="E25" s="6">
        <f>'Condições Gerais'!B27</f>
        <v>2.5000000000000001E-2</v>
      </c>
      <c r="F25" s="7">
        <f t="shared" si="0"/>
        <v>0</v>
      </c>
    </row>
    <row r="26" spans="2:6" ht="12.75" customHeight="1" x14ac:dyDescent="0.25">
      <c r="B26" s="409"/>
      <c r="C26" s="5">
        <v>6</v>
      </c>
      <c r="D26" s="36" t="str">
        <f>'Condições Gerais'!A28</f>
        <v>FGTS</v>
      </c>
      <c r="E26" s="6">
        <f>'Condições Gerais'!B28</f>
        <v>0.08</v>
      </c>
      <c r="F26" s="7">
        <f t="shared" si="0"/>
        <v>0</v>
      </c>
    </row>
    <row r="27" spans="2:6" ht="12.75" customHeight="1" x14ac:dyDescent="0.25">
      <c r="B27" s="409"/>
      <c r="C27" s="5">
        <v>7</v>
      </c>
      <c r="D27" s="36" t="str">
        <f>'Condições Gerais'!A29</f>
        <v>Seguro acidente do trabalho</v>
      </c>
      <c r="E27" s="6">
        <f>'Condições Gerais'!B29</f>
        <v>0.02</v>
      </c>
      <c r="F27" s="7">
        <f t="shared" si="0"/>
        <v>0</v>
      </c>
    </row>
    <row r="28" spans="2:6" ht="12.75" customHeight="1" x14ac:dyDescent="0.25">
      <c r="B28" s="409"/>
      <c r="C28" s="5">
        <v>8</v>
      </c>
      <c r="D28" s="36" t="str">
        <f>'Condições Gerais'!A30</f>
        <v>SEBRAE</v>
      </c>
      <c r="E28" s="6">
        <f>'Condições Gerais'!B30</f>
        <v>6.0000000000000001E-3</v>
      </c>
      <c r="F28" s="7">
        <f t="shared" si="0"/>
        <v>0</v>
      </c>
    </row>
    <row r="29" spans="2:6" ht="12.75" customHeight="1" x14ac:dyDescent="0.25">
      <c r="B29" s="410"/>
      <c r="C29" s="8" t="s">
        <v>13</v>
      </c>
      <c r="D29" s="8"/>
      <c r="E29" s="9">
        <f>SUM(E21:E28)</f>
        <v>0.3580000000000001</v>
      </c>
      <c r="F29" s="10">
        <f>SUM(F21:F28)</f>
        <v>0</v>
      </c>
    </row>
    <row r="30" spans="2:6" ht="12.75" customHeight="1" x14ac:dyDescent="0.25">
      <c r="B30" s="404" t="s">
        <v>14</v>
      </c>
      <c r="C30" s="148">
        <v>9</v>
      </c>
      <c r="D30" s="36" t="str">
        <f>'Condições Gerais'!A12</f>
        <v xml:space="preserve">Férias </v>
      </c>
      <c r="E30" s="6">
        <f>'Condições Gerais'!B12</f>
        <v>0.12037037037037036</v>
      </c>
      <c r="F30" s="7">
        <f>E30*$F$18</f>
        <v>0</v>
      </c>
    </row>
    <row r="31" spans="2:6" ht="12.75" customHeight="1" x14ac:dyDescent="0.25">
      <c r="B31" s="404"/>
      <c r="C31" s="148">
        <v>10</v>
      </c>
      <c r="D31" s="36" t="str">
        <f>'Condições Gerais'!A13</f>
        <v>Auxílio doença</v>
      </c>
      <c r="E31" s="6">
        <f>'Condições Gerais'!B13</f>
        <v>1.6555555555555556E-2</v>
      </c>
      <c r="F31" s="7">
        <f t="shared" ref="F31:F41" si="1">E31*$F$18</f>
        <v>0</v>
      </c>
    </row>
    <row r="32" spans="2:6" ht="12.75" customHeight="1" x14ac:dyDescent="0.25">
      <c r="B32" s="404"/>
      <c r="C32" s="148">
        <v>11</v>
      </c>
      <c r="D32" s="36" t="str">
        <f>'Condições Gerais'!A14</f>
        <v>Licença maternidade</v>
      </c>
      <c r="E32" s="6">
        <f>'Condições Gerais'!B14</f>
        <v>5.5239999999999994E-3</v>
      </c>
      <c r="F32" s="7">
        <f t="shared" si="1"/>
        <v>0</v>
      </c>
    </row>
    <row r="33" spans="2:10" ht="12.75" customHeight="1" x14ac:dyDescent="0.25">
      <c r="B33" s="404"/>
      <c r="C33" s="148">
        <v>12</v>
      </c>
      <c r="D33" s="36" t="str">
        <f>'Condições Gerais'!A15</f>
        <v>Licença paternidade</v>
      </c>
      <c r="E33" s="6">
        <f>'Condições Gerais'!B15</f>
        <v>2.0833333333333332E-4</v>
      </c>
      <c r="F33" s="7">
        <f t="shared" si="1"/>
        <v>0</v>
      </c>
    </row>
    <row r="34" spans="2:10" ht="12.75" customHeight="1" x14ac:dyDescent="0.25">
      <c r="B34" s="404"/>
      <c r="C34" s="148">
        <v>13</v>
      </c>
      <c r="D34" s="36" t="str">
        <f>'Condições Gerais'!A16</f>
        <v>Faltas legais</v>
      </c>
      <c r="E34" s="6">
        <f>'Condições Gerais'!B16</f>
        <v>8.2222222222222228E-3</v>
      </c>
      <c r="F34" s="7">
        <f t="shared" si="1"/>
        <v>0</v>
      </c>
    </row>
    <row r="35" spans="2:10" ht="12.75" customHeight="1" x14ac:dyDescent="0.25">
      <c r="B35" s="404"/>
      <c r="C35" s="148">
        <v>14</v>
      </c>
      <c r="D35" s="36" t="str">
        <f>'Condições Gerais'!A17</f>
        <v>Acidente de trabalho</v>
      </c>
      <c r="E35" s="6">
        <f>'Condições Gerais'!B17</f>
        <v>3.2499999999999999E-4</v>
      </c>
      <c r="F35" s="7">
        <f t="shared" si="1"/>
        <v>0</v>
      </c>
    </row>
    <row r="36" spans="2:10" ht="12.75" customHeight="1" x14ac:dyDescent="0.25">
      <c r="B36" s="404"/>
      <c r="C36" s="148">
        <v>15</v>
      </c>
      <c r="D36" s="36" t="str">
        <f>'Condições Gerais'!A18</f>
        <v>Aviso Prévio</v>
      </c>
      <c r="E36" s="6">
        <f>'Condições Gerais'!B18</f>
        <v>1.9444444444444445E-2</v>
      </c>
      <c r="F36" s="7">
        <f t="shared" si="1"/>
        <v>0</v>
      </c>
    </row>
    <row r="37" spans="2:10" ht="12.75" customHeight="1" x14ac:dyDescent="0.25">
      <c r="B37" s="404"/>
      <c r="C37" s="148">
        <v>16</v>
      </c>
      <c r="D37" s="36" t="str">
        <f>'Condições Gerais'!A19</f>
        <v>13º Salário</v>
      </c>
      <c r="E37" s="6">
        <f>'Condições Gerais'!B19</f>
        <v>9.0277777777777776E-2</v>
      </c>
      <c r="F37" s="7">
        <f t="shared" si="1"/>
        <v>0</v>
      </c>
    </row>
    <row r="38" spans="2:10" ht="12.75" customHeight="1" x14ac:dyDescent="0.25">
      <c r="B38" s="404"/>
      <c r="C38" s="11" t="s">
        <v>22</v>
      </c>
      <c r="D38" s="11"/>
      <c r="E38" s="12">
        <f>SUM(E30:E37)</f>
        <v>0.26092770370370372</v>
      </c>
      <c r="F38" s="13">
        <f>SUM(F30:F37)</f>
        <v>0</v>
      </c>
    </row>
    <row r="39" spans="2:10" ht="12.75" customHeight="1" x14ac:dyDescent="0.25">
      <c r="B39" s="405" t="s">
        <v>23</v>
      </c>
      <c r="C39" s="149">
        <v>17</v>
      </c>
      <c r="D39" s="37" t="str">
        <f>'Condições Gerais'!A20</f>
        <v>Indenizações  - rescisões s/ justa causa</v>
      </c>
      <c r="E39" s="14">
        <f>'Condições Gerais'!B20</f>
        <v>4.7775999999999999E-2</v>
      </c>
      <c r="F39" s="7">
        <f t="shared" si="1"/>
        <v>0</v>
      </c>
    </row>
    <row r="40" spans="2:10" ht="12.75" customHeight="1" x14ac:dyDescent="0.25">
      <c r="B40" s="405"/>
      <c r="C40" s="15" t="s">
        <v>24</v>
      </c>
      <c r="D40" s="15"/>
      <c r="E40" s="16">
        <f>SUM(E39)</f>
        <v>4.7775999999999999E-2</v>
      </c>
      <c r="F40" s="17">
        <f>SUM(F39)</f>
        <v>0</v>
      </c>
    </row>
    <row r="41" spans="2:10" s="1" customFormat="1" ht="25.5" customHeight="1" x14ac:dyDescent="0.25">
      <c r="B41" s="406" t="s">
        <v>33</v>
      </c>
      <c r="C41" s="33">
        <v>18</v>
      </c>
      <c r="D41" s="18" t="s">
        <v>37</v>
      </c>
      <c r="E41" s="34">
        <f>E29*E38</f>
        <v>9.341211792592595E-2</v>
      </c>
      <c r="F41" s="35">
        <f t="shared" si="1"/>
        <v>0</v>
      </c>
      <c r="G41" s="58"/>
      <c r="H41" s="58"/>
      <c r="I41" s="58"/>
      <c r="J41" s="58"/>
    </row>
    <row r="42" spans="2:10" ht="12.75" customHeight="1" x14ac:dyDescent="0.25">
      <c r="B42" s="406"/>
      <c r="C42" s="19" t="s">
        <v>25</v>
      </c>
      <c r="D42" s="19"/>
      <c r="E42" s="20">
        <f>SUM(E41)</f>
        <v>9.341211792592595E-2</v>
      </c>
      <c r="F42" s="21">
        <f>SUM(F41)</f>
        <v>0</v>
      </c>
    </row>
    <row r="43" spans="2:10" ht="12.75" customHeight="1" x14ac:dyDescent="0.25">
      <c r="B43" s="48" t="s">
        <v>114</v>
      </c>
      <c r="C43" s="49"/>
      <c r="D43" s="50"/>
      <c r="E43" s="20">
        <f>E29+E38+E40+E42</f>
        <v>0.76011582162962976</v>
      </c>
      <c r="F43" s="21">
        <f>F29+F38+F40+F42</f>
        <v>0</v>
      </c>
    </row>
    <row r="44" spans="2:10" ht="4.9000000000000004" customHeight="1" x14ac:dyDescent="0.25"/>
    <row r="45" spans="2:10" ht="25.5" customHeight="1" x14ac:dyDescent="0.25">
      <c r="B45" s="99" t="s">
        <v>142</v>
      </c>
      <c r="C45" s="100"/>
      <c r="D45" s="100"/>
      <c r="E45" s="101" t="s">
        <v>118</v>
      </c>
      <c r="F45" s="93" t="s">
        <v>58</v>
      </c>
    </row>
    <row r="46" spans="2:10" ht="12.75" customHeight="1" x14ac:dyDescent="0.25">
      <c r="B46" s="94"/>
      <c r="C46" s="22">
        <v>1</v>
      </c>
      <c r="D46" s="51" t="s">
        <v>140</v>
      </c>
      <c r="E46" s="61">
        <f>(F9*0.06)</f>
        <v>0</v>
      </c>
      <c r="F46" s="23">
        <f>IF(('Condições Gerais'!I33-E46)&lt;0,0,'Condições Gerais'!I33-E46)</f>
        <v>0</v>
      </c>
      <c r="G46" s="150"/>
    </row>
    <row r="47" spans="2:10" ht="12.75" customHeight="1" x14ac:dyDescent="0.25">
      <c r="B47" s="95"/>
      <c r="C47" s="22">
        <v>2</v>
      </c>
      <c r="D47" s="62" t="s">
        <v>124</v>
      </c>
      <c r="E47" s="61">
        <f>'Condições Gerais'!I37*'Condições Gerais'!I36</f>
        <v>0</v>
      </c>
      <c r="F47" s="23">
        <f>'Condições Gerais'!I37-E47</f>
        <v>0</v>
      </c>
    </row>
    <row r="48" spans="2:10" ht="12.75" customHeight="1" x14ac:dyDescent="0.25">
      <c r="B48" s="95"/>
      <c r="C48" s="22">
        <v>3</v>
      </c>
      <c r="D48" s="63" t="s">
        <v>133</v>
      </c>
      <c r="E48" s="139" t="s">
        <v>41</v>
      </c>
      <c r="F48" s="23">
        <f>'Condições Gerais'!I41</f>
        <v>0</v>
      </c>
    </row>
    <row r="49" spans="2:6" ht="12.75" customHeight="1" x14ac:dyDescent="0.25">
      <c r="B49" s="95"/>
      <c r="C49" s="22">
        <v>4</v>
      </c>
      <c r="D49" s="62" t="str">
        <f>'Condições Gerais'!D22</f>
        <v>INTRAJORNADA (indenizatória)</v>
      </c>
      <c r="E49" s="139" t="s">
        <v>41</v>
      </c>
      <c r="F49" s="23">
        <f>'Condições Gerais'!I23</f>
        <v>0</v>
      </c>
    </row>
    <row r="50" spans="2:6" ht="12.75" customHeight="1" x14ac:dyDescent="0.25">
      <c r="B50" s="95"/>
      <c r="C50" s="22">
        <v>5</v>
      </c>
      <c r="D50" s="62" t="str">
        <f>'Condições Gerais'!D42</f>
        <v>PAF (CCT2024, Cláus. 14ª, §4º)</v>
      </c>
      <c r="E50" s="139" t="s">
        <v>41</v>
      </c>
      <c r="F50" s="23">
        <f>'Condições Gerais'!I43</f>
        <v>0</v>
      </c>
    </row>
    <row r="51" spans="2:6" ht="12.75" customHeight="1" x14ac:dyDescent="0.25">
      <c r="B51" s="95"/>
      <c r="C51" s="22">
        <v>6</v>
      </c>
      <c r="D51" s="62" t="str">
        <f>'Condições Gerais'!D44</f>
        <v>Contr. Ass. Patronal (CCT2024, Cláus. 55ª, caput)</v>
      </c>
      <c r="E51" s="139" t="s">
        <v>41</v>
      </c>
      <c r="F51" s="23">
        <f>'Condições Gerais'!I45</f>
        <v>0</v>
      </c>
    </row>
    <row r="52" spans="2:6" ht="12.75" customHeight="1" x14ac:dyDescent="0.25">
      <c r="B52" s="95"/>
      <c r="C52" s="22">
        <v>7</v>
      </c>
      <c r="D52" s="62" t="str">
        <f>'Condições Gerais'!D46</f>
        <v>Outros custos ou benefícios da CCT</v>
      </c>
      <c r="E52" s="139" t="s">
        <v>41</v>
      </c>
      <c r="F52" s="23">
        <f>'Condições Gerais'!I47</f>
        <v>0</v>
      </c>
    </row>
    <row r="53" spans="2:6" ht="12.75" customHeight="1" x14ac:dyDescent="0.25">
      <c r="B53" s="96"/>
      <c r="C53" s="22">
        <v>8</v>
      </c>
      <c r="D53" s="62" t="str">
        <f>'Condições Gerais'!D48</f>
        <v>Outros custos ou benefícios da CCT</v>
      </c>
      <c r="E53" s="139" t="s">
        <v>41</v>
      </c>
      <c r="F53" s="23">
        <f>'Condições Gerais'!I49</f>
        <v>0</v>
      </c>
    </row>
    <row r="54" spans="2:6" ht="12.75" customHeight="1" x14ac:dyDescent="0.25">
      <c r="B54" s="96"/>
      <c r="C54" s="22">
        <v>9</v>
      </c>
      <c r="D54" s="62" t="str">
        <f>'Condições Gerais'!D50</f>
        <v>Outros custos ou benefícios da CCT</v>
      </c>
      <c r="E54" s="139" t="s">
        <v>41</v>
      </c>
      <c r="F54" s="23">
        <f>'Condições Gerais'!I51</f>
        <v>0</v>
      </c>
    </row>
    <row r="55" spans="2:6" ht="12.75" customHeight="1" x14ac:dyDescent="0.25">
      <c r="B55" s="96"/>
      <c r="C55" s="22">
        <v>10</v>
      </c>
      <c r="D55" s="62" t="str">
        <f>'Condições Gerais'!D52</f>
        <v>Outros custos ou benefícios da CCT</v>
      </c>
      <c r="E55" s="139" t="s">
        <v>41</v>
      </c>
      <c r="F55" s="23">
        <f>'Condições Gerais'!I53</f>
        <v>0</v>
      </c>
    </row>
    <row r="56" spans="2:6" ht="12.75" customHeight="1" x14ac:dyDescent="0.25">
      <c r="B56" s="96"/>
      <c r="C56" s="22">
        <v>11</v>
      </c>
      <c r="D56" s="62" t="str">
        <f>'Condições Gerais'!D54</f>
        <v>Outros custos ou benefícios da CCT</v>
      </c>
      <c r="E56" s="139" t="s">
        <v>41</v>
      </c>
      <c r="F56" s="23">
        <f>'Condições Gerais'!I55</f>
        <v>0</v>
      </c>
    </row>
    <row r="57" spans="2:6" ht="12.75" customHeight="1" x14ac:dyDescent="0.25">
      <c r="B57" s="48" t="s">
        <v>143</v>
      </c>
      <c r="C57" s="49"/>
      <c r="D57" s="49"/>
      <c r="E57" s="50"/>
      <c r="F57" s="30">
        <f>SUM(F46:F56)</f>
        <v>0</v>
      </c>
    </row>
    <row r="58" spans="2:6" ht="4.9000000000000004" customHeight="1" x14ac:dyDescent="0.25"/>
    <row r="59" spans="2:6" ht="12.75" customHeight="1" x14ac:dyDescent="0.25">
      <c r="B59" s="45" t="s">
        <v>145</v>
      </c>
      <c r="C59" s="46"/>
      <c r="D59" s="46"/>
      <c r="E59" s="102"/>
      <c r="F59" s="93" t="s">
        <v>58</v>
      </c>
    </row>
    <row r="60" spans="2:6" ht="12.75" customHeight="1" x14ac:dyDescent="0.25">
      <c r="B60" s="40" t="s">
        <v>113</v>
      </c>
      <c r="C60" s="41"/>
      <c r="D60" s="41"/>
      <c r="E60" s="102"/>
      <c r="F60" s="38">
        <f>F18</f>
        <v>0</v>
      </c>
    </row>
    <row r="61" spans="2:6" ht="12.75" customHeight="1" x14ac:dyDescent="0.25">
      <c r="B61" s="42" t="s">
        <v>114</v>
      </c>
      <c r="C61" s="43"/>
      <c r="D61" s="43"/>
      <c r="E61" s="102"/>
      <c r="F61" s="39">
        <f>F43</f>
        <v>0</v>
      </c>
    </row>
    <row r="62" spans="2:6" ht="12.75" customHeight="1" x14ac:dyDescent="0.25">
      <c r="B62" s="42" t="s">
        <v>143</v>
      </c>
      <c r="C62" s="43"/>
      <c r="D62" s="43"/>
      <c r="E62" s="102"/>
      <c r="F62" s="39">
        <f>F57</f>
        <v>0</v>
      </c>
    </row>
    <row r="63" spans="2:6" ht="12.75" customHeight="1" x14ac:dyDescent="0.25">
      <c r="B63" s="65" t="s">
        <v>64</v>
      </c>
      <c r="C63" s="88"/>
      <c r="D63" s="88"/>
      <c r="E63" s="64"/>
      <c r="F63" s="60">
        <f>SUM(F60:F62)</f>
        <v>0</v>
      </c>
    </row>
    <row r="64" spans="2:6" ht="4.9000000000000004" customHeight="1" x14ac:dyDescent="0.25"/>
    <row r="65" spans="2:6" ht="12.75" customHeight="1" x14ac:dyDescent="0.25">
      <c r="B65" s="65" t="s">
        <v>273</v>
      </c>
      <c r="C65" s="66"/>
      <c r="D65" s="66"/>
      <c r="E65" s="103" t="s">
        <v>4</v>
      </c>
      <c r="F65" s="93" t="s">
        <v>58</v>
      </c>
    </row>
    <row r="66" spans="2:6" ht="12.75" customHeight="1" x14ac:dyDescent="0.25">
      <c r="B66" s="65" t="s">
        <v>274</v>
      </c>
      <c r="C66" s="88"/>
      <c r="D66" s="88"/>
      <c r="E66" s="164">
        <f>'Condições Gerais'!B38</f>
        <v>0</v>
      </c>
      <c r="F66" s="165">
        <f>E66*F63</f>
        <v>0</v>
      </c>
    </row>
    <row r="67" spans="2:6" ht="4.9000000000000004" customHeight="1" x14ac:dyDescent="0.25"/>
    <row r="68" spans="2:6" ht="12.75" customHeight="1" x14ac:dyDescent="0.25">
      <c r="B68" s="65" t="s">
        <v>261</v>
      </c>
      <c r="C68" s="66"/>
      <c r="D68" s="66"/>
      <c r="E68" s="166"/>
      <c r="F68" s="93" t="s">
        <v>58</v>
      </c>
    </row>
    <row r="69" spans="2:6" ht="12.75" customHeight="1" x14ac:dyDescent="0.25">
      <c r="B69" s="65" t="s">
        <v>262</v>
      </c>
      <c r="C69" s="88"/>
      <c r="D69" s="88"/>
      <c r="E69" s="167"/>
      <c r="F69" s="165">
        <f>F63+F66</f>
        <v>0</v>
      </c>
    </row>
    <row r="70" spans="2:6" ht="4.9000000000000004" customHeight="1" x14ac:dyDescent="0.25"/>
    <row r="71" spans="2:6" ht="12.75" customHeight="1" x14ac:dyDescent="0.25">
      <c r="B71" s="45" t="s">
        <v>263</v>
      </c>
      <c r="C71" s="46"/>
      <c r="D71" s="47"/>
      <c r="E71" s="103" t="s">
        <v>4</v>
      </c>
      <c r="F71" s="93" t="s">
        <v>38</v>
      </c>
    </row>
    <row r="72" spans="2:6" ht="12.75" customHeight="1" x14ac:dyDescent="0.25">
      <c r="B72" s="28"/>
      <c r="C72" s="3">
        <v>1</v>
      </c>
      <c r="D72" s="24" t="str">
        <f>'Condições Gerais'!A33</f>
        <v>PIS</v>
      </c>
      <c r="E72" s="25">
        <f>'Condições Gerais'!B33</f>
        <v>1.6500000000000001E-2</v>
      </c>
      <c r="F72" s="26">
        <f>E72*F$79</f>
        <v>0</v>
      </c>
    </row>
    <row r="73" spans="2:6" ht="12.75" customHeight="1" x14ac:dyDescent="0.25">
      <c r="B73" s="29"/>
      <c r="C73" s="3">
        <v>2</v>
      </c>
      <c r="D73" s="24" t="str">
        <f>'Condições Gerais'!A34</f>
        <v>COFINS</v>
      </c>
      <c r="E73" s="25">
        <f>'Condições Gerais'!B34</f>
        <v>7.5999999999999998E-2</v>
      </c>
      <c r="F73" s="26">
        <f>E73*F$79</f>
        <v>0</v>
      </c>
    </row>
    <row r="74" spans="2:6" ht="12.75" customHeight="1" x14ac:dyDescent="0.25">
      <c r="B74" s="29"/>
      <c r="C74" s="3">
        <v>3</v>
      </c>
      <c r="D74" s="24" t="str">
        <f>'Condições Gerais'!A35</f>
        <v>ISS</v>
      </c>
      <c r="E74" s="25">
        <f>'Condições Gerais'!B35</f>
        <v>0.05</v>
      </c>
      <c r="F74" s="26">
        <f>E74*F$79</f>
        <v>0</v>
      </c>
    </row>
    <row r="75" spans="2:6" ht="12.75" customHeight="1" x14ac:dyDescent="0.25">
      <c r="B75" s="48" t="s">
        <v>34</v>
      </c>
      <c r="C75" s="49"/>
      <c r="D75" s="50"/>
      <c r="E75" s="27">
        <f>SUM(E72:E74)</f>
        <v>0.14250000000000002</v>
      </c>
      <c r="F75" s="31">
        <f>E75*F$79</f>
        <v>0</v>
      </c>
    </row>
    <row r="76" spans="2:6" ht="4.9000000000000004" customHeight="1" x14ac:dyDescent="0.25"/>
    <row r="77" spans="2:6" ht="12.75" customHeight="1" x14ac:dyDescent="0.25">
      <c r="B77" s="45" t="s">
        <v>264</v>
      </c>
      <c r="C77" s="46"/>
      <c r="D77" s="47"/>
      <c r="E77" s="103" t="s">
        <v>4</v>
      </c>
      <c r="F77" s="93" t="s">
        <v>38</v>
      </c>
    </row>
    <row r="78" spans="2:6" s="104" customFormat="1" ht="12.75" customHeight="1" x14ac:dyDescent="0.25">
      <c r="B78" s="69" t="s">
        <v>265</v>
      </c>
      <c r="C78" s="70"/>
      <c r="D78" s="71"/>
      <c r="E78" s="72">
        <f>1-E75</f>
        <v>0.85749999999999993</v>
      </c>
      <c r="F78" s="140" t="s">
        <v>41</v>
      </c>
    </row>
    <row r="79" spans="2:6" s="104" customFormat="1" ht="12.75" customHeight="1" x14ac:dyDescent="0.25">
      <c r="B79" s="69" t="s">
        <v>125</v>
      </c>
      <c r="C79" s="70"/>
      <c r="D79" s="71"/>
      <c r="E79" s="72">
        <v>1</v>
      </c>
      <c r="F79" s="73">
        <f>F69/E78</f>
        <v>0</v>
      </c>
    </row>
    <row r="80" spans="2:6" s="104" customFormat="1" ht="12.75" customHeight="1" x14ac:dyDescent="0.25">
      <c r="B80" s="74" t="s">
        <v>266</v>
      </c>
      <c r="C80" s="75"/>
      <c r="D80" s="76"/>
      <c r="E80" s="77"/>
      <c r="F80" s="78"/>
    </row>
    <row r="81" spans="2:6" ht="4.9000000000000004" customHeight="1" x14ac:dyDescent="0.25"/>
    <row r="82" spans="2:6" s="104" customFormat="1" ht="25.5" customHeight="1" x14ac:dyDescent="0.25">
      <c r="B82" s="69" t="s">
        <v>268</v>
      </c>
      <c r="C82" s="70"/>
      <c r="D82" s="71"/>
      <c r="E82" s="2" t="s">
        <v>60</v>
      </c>
      <c r="F82" s="68" t="s">
        <v>36</v>
      </c>
    </row>
    <row r="83" spans="2:6" ht="12.75" customHeight="1" x14ac:dyDescent="0.25">
      <c r="B83" s="74"/>
      <c r="C83" s="75"/>
      <c r="D83" s="76"/>
      <c r="E83" s="143">
        <f>'Condições Gerais'!I14</f>
        <v>0</v>
      </c>
      <c r="F83" s="68">
        <f>F79*E83</f>
        <v>0</v>
      </c>
    </row>
    <row r="84" spans="2:6" ht="4.9000000000000004" customHeight="1" x14ac:dyDescent="0.25"/>
    <row r="85" spans="2:6" s="104" customFormat="1" ht="25.5" customHeight="1" x14ac:dyDescent="0.25">
      <c r="B85" s="69" t="s">
        <v>267</v>
      </c>
      <c r="C85" s="70"/>
      <c r="D85" s="71"/>
      <c r="E85" s="2" t="s">
        <v>35</v>
      </c>
      <c r="F85" s="68" t="s">
        <v>59</v>
      </c>
    </row>
    <row r="86" spans="2:6" ht="12.75" customHeight="1" x14ac:dyDescent="0.25">
      <c r="B86" s="74"/>
      <c r="C86" s="75"/>
      <c r="D86" s="76"/>
      <c r="E86" s="105">
        <f>'Condições Gerais'!B8</f>
        <v>12</v>
      </c>
      <c r="F86" s="68">
        <f>F83*E86</f>
        <v>0</v>
      </c>
    </row>
  </sheetData>
  <sheetProtection algorithmName="SHA-512" hashValue="eV7/boo8BoqTA2Woz4nHttKbceH4cZ7V7pzddwpi1FSaEmAk14C3Z5sdzrYt21Ns8LsAADuRijzZyY29FZ/Z0Q==" saltValue="eLuxhuX5ZEW2AHj+Z8YRhw==" spinCount="100000" sheet="1" objects="1" scenarios="1"/>
  <mergeCells count="7">
    <mergeCell ref="B39:B40"/>
    <mergeCell ref="B41:B42"/>
    <mergeCell ref="B1:F1"/>
    <mergeCell ref="B2:F2"/>
    <mergeCell ref="B4:F4"/>
    <mergeCell ref="B21:B29"/>
    <mergeCell ref="B30:B3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J86"/>
  <sheetViews>
    <sheetView showGridLines="0" workbookViewId="0">
      <selection activeCell="A2" sqref="A2:J2"/>
    </sheetView>
  </sheetViews>
  <sheetFormatPr defaultColWidth="9.140625" defaultRowHeight="12.75" customHeight="1" x14ac:dyDescent="0.25"/>
  <cols>
    <col min="1" max="1" width="2.140625" style="58" customWidth="1"/>
    <col min="2" max="2" width="10.42578125" style="58" customWidth="1"/>
    <col min="3" max="3" width="5.140625" style="58" customWidth="1"/>
    <col min="4" max="4" width="39.7109375" style="58" customWidth="1"/>
    <col min="5" max="5" width="14.7109375" style="58" customWidth="1"/>
    <col min="6" max="6" width="16.140625" style="59" customWidth="1"/>
    <col min="7" max="7" width="14.7109375" style="58" customWidth="1"/>
    <col min="8" max="8" width="9.140625" style="58"/>
    <col min="9" max="9" width="10.28515625" style="58" bestFit="1" customWidth="1"/>
    <col min="10" max="16384" width="9.140625" style="58"/>
  </cols>
  <sheetData>
    <row r="1" spans="2:7" ht="12.75" customHeight="1" x14ac:dyDescent="0.25">
      <c r="B1" s="402" t="str">
        <f>'Condições Gerais'!A1</f>
        <v>SECRETARIA MUNICIPAL DE CULTURA</v>
      </c>
      <c r="C1" s="402"/>
      <c r="D1" s="402"/>
      <c r="E1" s="402"/>
      <c r="F1" s="402"/>
    </row>
    <row r="2" spans="2:7" ht="12.75" customHeight="1" x14ac:dyDescent="0.25">
      <c r="B2" s="411"/>
      <c r="C2" s="411"/>
      <c r="D2" s="411"/>
      <c r="E2" s="411"/>
      <c r="F2" s="411"/>
    </row>
    <row r="3" spans="2:7" ht="4.9000000000000004" customHeight="1" x14ac:dyDescent="0.25"/>
    <row r="4" spans="2:7" ht="12.75" customHeight="1" x14ac:dyDescent="0.25">
      <c r="B4" s="407" t="s">
        <v>0</v>
      </c>
      <c r="C4" s="407"/>
      <c r="D4" s="407"/>
      <c r="E4" s="407"/>
      <c r="F4" s="407"/>
    </row>
    <row r="5" spans="2:7" ht="12.75" customHeight="1" x14ac:dyDescent="0.25">
      <c r="B5" s="65" t="s">
        <v>138</v>
      </c>
      <c r="C5" s="66"/>
      <c r="D5" s="67"/>
      <c r="E5" s="68" t="s">
        <v>42</v>
      </c>
      <c r="F5" s="68" t="s">
        <v>61</v>
      </c>
    </row>
    <row r="6" spans="2:7" ht="12.75" customHeight="1" x14ac:dyDescent="0.25">
      <c r="B6" s="144" t="str">
        <f>'Condições Gerais'!J6</f>
        <v>04- XXXXXX</v>
      </c>
      <c r="C6" s="91"/>
      <c r="D6" s="92"/>
      <c r="E6" s="141">
        <f>'Condições Gerais'!J17</f>
        <v>220</v>
      </c>
      <c r="F6" s="142">
        <f>'Condições Gerais'!J18</f>
        <v>0</v>
      </c>
    </row>
    <row r="7" spans="2:7" ht="4.9000000000000004" customHeight="1" x14ac:dyDescent="0.25"/>
    <row r="8" spans="2:7" ht="12.75" customHeight="1" x14ac:dyDescent="0.25">
      <c r="B8" s="158" t="s">
        <v>63</v>
      </c>
      <c r="C8" s="46"/>
      <c r="D8" s="46"/>
      <c r="E8" s="147" t="s">
        <v>164</v>
      </c>
      <c r="F8" s="93" t="s">
        <v>58</v>
      </c>
    </row>
    <row r="9" spans="2:7" ht="12.75" customHeight="1" x14ac:dyDescent="0.25">
      <c r="B9" s="94"/>
      <c r="C9" s="3">
        <v>1</v>
      </c>
      <c r="D9" s="40" t="s">
        <v>28</v>
      </c>
      <c r="E9" s="44"/>
      <c r="F9" s="4">
        <f>'Condições Gerais'!J9</f>
        <v>0</v>
      </c>
    </row>
    <row r="10" spans="2:7" ht="12.75" customHeight="1" x14ac:dyDescent="0.25">
      <c r="B10" s="95"/>
      <c r="C10" s="3">
        <v>2</v>
      </c>
      <c r="D10" s="40" t="s">
        <v>47</v>
      </c>
      <c r="E10" s="44"/>
      <c r="F10" s="4">
        <f>'Condições Gerais'!J10</f>
        <v>0</v>
      </c>
    </row>
    <row r="11" spans="2:7" ht="12.75" customHeight="1" x14ac:dyDescent="0.25">
      <c r="B11" s="95"/>
      <c r="C11" s="3">
        <v>3</v>
      </c>
      <c r="D11" s="40" t="s">
        <v>48</v>
      </c>
      <c r="E11" s="44"/>
      <c r="F11" s="4">
        <f>'Condições Gerais'!J12</f>
        <v>0</v>
      </c>
    </row>
    <row r="12" spans="2:7" ht="12.75" customHeight="1" x14ac:dyDescent="0.25">
      <c r="B12" s="95"/>
      <c r="C12" s="3">
        <v>4</v>
      </c>
      <c r="D12" s="40" t="s">
        <v>31</v>
      </c>
      <c r="E12" s="146">
        <f>'Condições Gerais'!J20</f>
        <v>0</v>
      </c>
      <c r="F12" s="4">
        <f>'Condições Gerais'!J21</f>
        <v>0</v>
      </c>
      <c r="G12" s="96"/>
    </row>
    <row r="13" spans="2:7" ht="12.75" customHeight="1" x14ac:dyDescent="0.25">
      <c r="B13" s="95"/>
      <c r="C13" s="3">
        <v>5</v>
      </c>
      <c r="D13" s="40" t="s">
        <v>122</v>
      </c>
      <c r="E13" s="146">
        <f>'Condições Gerais'!J24</f>
        <v>0</v>
      </c>
      <c r="F13" s="4">
        <f>'Condições Gerais'!J25</f>
        <v>0</v>
      </c>
    </row>
    <row r="14" spans="2:7" ht="12.75" customHeight="1" x14ac:dyDescent="0.25">
      <c r="B14" s="95"/>
      <c r="C14" s="3">
        <v>6</v>
      </c>
      <c r="D14" s="40" t="s">
        <v>224</v>
      </c>
      <c r="E14" s="146">
        <f>'Condições Gerais'!J28</f>
        <v>0</v>
      </c>
      <c r="F14" s="4">
        <f>'Condições Gerais'!J29</f>
        <v>0</v>
      </c>
    </row>
    <row r="15" spans="2:7" ht="12.75" customHeight="1" x14ac:dyDescent="0.25">
      <c r="B15" s="95"/>
      <c r="C15" s="3">
        <v>7</v>
      </c>
      <c r="D15" s="40" t="s">
        <v>29</v>
      </c>
      <c r="E15" s="146">
        <f>'Condições Gerais'!J30</f>
        <v>0</v>
      </c>
      <c r="F15" s="4">
        <f>'Condições Gerais'!J31</f>
        <v>0</v>
      </c>
    </row>
    <row r="16" spans="2:7" ht="12.75" customHeight="1" x14ac:dyDescent="0.25">
      <c r="B16" s="95"/>
      <c r="C16" s="3">
        <v>8</v>
      </c>
      <c r="D16" s="160" t="s">
        <v>235</v>
      </c>
      <c r="E16" s="146">
        <f>'Condições Gerais'!J26</f>
        <v>16</v>
      </c>
      <c r="F16" s="4">
        <f>'Condições Gerais'!J27</f>
        <v>0</v>
      </c>
    </row>
    <row r="17" spans="2:6" ht="12.75" customHeight="1" x14ac:dyDescent="0.25">
      <c r="B17" s="97"/>
      <c r="C17" s="22">
        <v>9</v>
      </c>
      <c r="D17" s="40" t="s">
        <v>46</v>
      </c>
      <c r="E17" s="44"/>
      <c r="F17" s="4">
        <f>(F12+F13+F14+F15+F16)/24*6</f>
        <v>0</v>
      </c>
    </row>
    <row r="18" spans="2:6" ht="12.75" customHeight="1" x14ac:dyDescent="0.25">
      <c r="B18" s="159" t="s">
        <v>113</v>
      </c>
      <c r="C18" s="46"/>
      <c r="D18" s="46"/>
      <c r="E18" s="47"/>
      <c r="F18" s="32">
        <f>SUM(F9:F17)</f>
        <v>0</v>
      </c>
    </row>
    <row r="19" spans="2:6" ht="4.9000000000000004" customHeight="1" x14ac:dyDescent="0.25"/>
    <row r="20" spans="2:6" ht="12.75" customHeight="1" x14ac:dyDescent="0.25">
      <c r="B20" s="45" t="s">
        <v>62</v>
      </c>
      <c r="C20" s="46"/>
      <c r="D20" s="47"/>
      <c r="E20" s="98" t="s">
        <v>4</v>
      </c>
      <c r="F20" s="93" t="s">
        <v>58</v>
      </c>
    </row>
    <row r="21" spans="2:6" ht="12.75" customHeight="1" x14ac:dyDescent="0.25">
      <c r="B21" s="408" t="s">
        <v>3</v>
      </c>
      <c r="C21" s="5">
        <v>1</v>
      </c>
      <c r="D21" s="36" t="str">
        <f>'Condições Gerais'!A23</f>
        <v>INSS</v>
      </c>
      <c r="E21" s="6">
        <f>'Condições Gerais'!B23</f>
        <v>0.2</v>
      </c>
      <c r="F21" s="7">
        <f>E21*$F$18</f>
        <v>0</v>
      </c>
    </row>
    <row r="22" spans="2:6" ht="12.75" customHeight="1" x14ac:dyDescent="0.25">
      <c r="B22" s="409"/>
      <c r="C22" s="5">
        <v>2</v>
      </c>
      <c r="D22" s="36" t="str">
        <f>'Condições Gerais'!A24</f>
        <v>SESI ou SESC</v>
      </c>
      <c r="E22" s="6">
        <f>'Condições Gerais'!B24</f>
        <v>1.4999999999999999E-2</v>
      </c>
      <c r="F22" s="7">
        <f t="shared" ref="F22:F28" si="0">E22*$F$18</f>
        <v>0</v>
      </c>
    </row>
    <row r="23" spans="2:6" ht="12.75" customHeight="1" x14ac:dyDescent="0.25">
      <c r="B23" s="409"/>
      <c r="C23" s="5">
        <v>3</v>
      </c>
      <c r="D23" s="36" t="str">
        <f>'Condições Gerais'!A25</f>
        <v>SENAI ou SENAC</v>
      </c>
      <c r="E23" s="6">
        <f>'Condições Gerais'!B25</f>
        <v>0.01</v>
      </c>
      <c r="F23" s="7">
        <f t="shared" si="0"/>
        <v>0</v>
      </c>
    </row>
    <row r="24" spans="2:6" ht="12.75" customHeight="1" x14ac:dyDescent="0.25">
      <c r="B24" s="409"/>
      <c r="C24" s="5">
        <v>4</v>
      </c>
      <c r="D24" s="36" t="str">
        <f>'Condições Gerais'!A26</f>
        <v>INCRA</v>
      </c>
      <c r="E24" s="6">
        <f>'Condições Gerais'!B26</f>
        <v>2E-3</v>
      </c>
      <c r="F24" s="7">
        <f t="shared" si="0"/>
        <v>0</v>
      </c>
    </row>
    <row r="25" spans="2:6" ht="12.75" customHeight="1" x14ac:dyDescent="0.25">
      <c r="B25" s="409"/>
      <c r="C25" s="5">
        <v>5</v>
      </c>
      <c r="D25" s="36" t="str">
        <f>'Condições Gerais'!A27</f>
        <v>Salário educação</v>
      </c>
      <c r="E25" s="6">
        <f>'Condições Gerais'!B27</f>
        <v>2.5000000000000001E-2</v>
      </c>
      <c r="F25" s="7">
        <f t="shared" si="0"/>
        <v>0</v>
      </c>
    </row>
    <row r="26" spans="2:6" ht="12.75" customHeight="1" x14ac:dyDescent="0.25">
      <c r="B26" s="409"/>
      <c r="C26" s="5">
        <v>6</v>
      </c>
      <c r="D26" s="36" t="str">
        <f>'Condições Gerais'!A28</f>
        <v>FGTS</v>
      </c>
      <c r="E26" s="6">
        <f>'Condições Gerais'!B28</f>
        <v>0.08</v>
      </c>
      <c r="F26" s="7">
        <f t="shared" si="0"/>
        <v>0</v>
      </c>
    </row>
    <row r="27" spans="2:6" ht="12.75" customHeight="1" x14ac:dyDescent="0.25">
      <c r="B27" s="409"/>
      <c r="C27" s="5">
        <v>7</v>
      </c>
      <c r="D27" s="36" t="str">
        <f>'Condições Gerais'!A29</f>
        <v>Seguro acidente do trabalho</v>
      </c>
      <c r="E27" s="6">
        <f>'Condições Gerais'!B29</f>
        <v>0.02</v>
      </c>
      <c r="F27" s="7">
        <f t="shared" si="0"/>
        <v>0</v>
      </c>
    </row>
    <row r="28" spans="2:6" ht="12.75" customHeight="1" x14ac:dyDescent="0.25">
      <c r="B28" s="409"/>
      <c r="C28" s="5">
        <v>8</v>
      </c>
      <c r="D28" s="36" t="str">
        <f>'Condições Gerais'!A30</f>
        <v>SEBRAE</v>
      </c>
      <c r="E28" s="6">
        <f>'Condições Gerais'!B30</f>
        <v>6.0000000000000001E-3</v>
      </c>
      <c r="F28" s="7">
        <f t="shared" si="0"/>
        <v>0</v>
      </c>
    </row>
    <row r="29" spans="2:6" ht="12.75" customHeight="1" x14ac:dyDescent="0.25">
      <c r="B29" s="410"/>
      <c r="C29" s="8" t="s">
        <v>13</v>
      </c>
      <c r="D29" s="8"/>
      <c r="E29" s="9">
        <f>SUM(E21:E28)</f>
        <v>0.3580000000000001</v>
      </c>
      <c r="F29" s="10">
        <f>SUM(F21:F28)</f>
        <v>0</v>
      </c>
    </row>
    <row r="30" spans="2:6" ht="12.75" customHeight="1" x14ac:dyDescent="0.25">
      <c r="B30" s="404" t="s">
        <v>14</v>
      </c>
      <c r="C30" s="148">
        <v>9</v>
      </c>
      <c r="D30" s="36" t="str">
        <f>'Condições Gerais'!A12</f>
        <v xml:space="preserve">Férias </v>
      </c>
      <c r="E30" s="6">
        <f>'Condições Gerais'!B12</f>
        <v>0.12037037037037036</v>
      </c>
      <c r="F30" s="7">
        <f>E30*$F$18</f>
        <v>0</v>
      </c>
    </row>
    <row r="31" spans="2:6" ht="12.75" customHeight="1" x14ac:dyDescent="0.25">
      <c r="B31" s="404"/>
      <c r="C31" s="148">
        <v>10</v>
      </c>
      <c r="D31" s="36" t="str">
        <f>'Condições Gerais'!A13</f>
        <v>Auxílio doença</v>
      </c>
      <c r="E31" s="6">
        <f>'Condições Gerais'!B13</f>
        <v>1.6555555555555556E-2</v>
      </c>
      <c r="F31" s="7">
        <f t="shared" ref="F31:F41" si="1">E31*$F$18</f>
        <v>0</v>
      </c>
    </row>
    <row r="32" spans="2:6" ht="12.75" customHeight="1" x14ac:dyDescent="0.25">
      <c r="B32" s="404"/>
      <c r="C32" s="148">
        <v>11</v>
      </c>
      <c r="D32" s="36" t="str">
        <f>'Condições Gerais'!A14</f>
        <v>Licença maternidade</v>
      </c>
      <c r="E32" s="6">
        <f>'Condições Gerais'!B14</f>
        <v>5.5239999999999994E-3</v>
      </c>
      <c r="F32" s="7">
        <f t="shared" si="1"/>
        <v>0</v>
      </c>
    </row>
    <row r="33" spans="2:10" ht="12.75" customHeight="1" x14ac:dyDescent="0.25">
      <c r="B33" s="404"/>
      <c r="C33" s="148">
        <v>12</v>
      </c>
      <c r="D33" s="36" t="str">
        <f>'Condições Gerais'!A15</f>
        <v>Licença paternidade</v>
      </c>
      <c r="E33" s="6">
        <f>'Condições Gerais'!B15</f>
        <v>2.0833333333333332E-4</v>
      </c>
      <c r="F33" s="7">
        <f t="shared" si="1"/>
        <v>0</v>
      </c>
    </row>
    <row r="34" spans="2:10" ht="12.75" customHeight="1" x14ac:dyDescent="0.25">
      <c r="B34" s="404"/>
      <c r="C34" s="148">
        <v>13</v>
      </c>
      <c r="D34" s="36" t="str">
        <f>'Condições Gerais'!A16</f>
        <v>Faltas legais</v>
      </c>
      <c r="E34" s="6">
        <f>'Condições Gerais'!B16</f>
        <v>8.2222222222222228E-3</v>
      </c>
      <c r="F34" s="7">
        <f t="shared" si="1"/>
        <v>0</v>
      </c>
    </row>
    <row r="35" spans="2:10" ht="12.75" customHeight="1" x14ac:dyDescent="0.25">
      <c r="B35" s="404"/>
      <c r="C35" s="148">
        <v>14</v>
      </c>
      <c r="D35" s="36" t="str">
        <f>'Condições Gerais'!A17</f>
        <v>Acidente de trabalho</v>
      </c>
      <c r="E35" s="6">
        <f>'Condições Gerais'!B17</f>
        <v>3.2499999999999999E-4</v>
      </c>
      <c r="F35" s="7">
        <f t="shared" si="1"/>
        <v>0</v>
      </c>
    </row>
    <row r="36" spans="2:10" ht="12.75" customHeight="1" x14ac:dyDescent="0.25">
      <c r="B36" s="404"/>
      <c r="C36" s="148">
        <v>15</v>
      </c>
      <c r="D36" s="36" t="str">
        <f>'Condições Gerais'!A18</f>
        <v>Aviso Prévio</v>
      </c>
      <c r="E36" s="6">
        <f>'Condições Gerais'!B18</f>
        <v>1.9444444444444445E-2</v>
      </c>
      <c r="F36" s="7">
        <f t="shared" si="1"/>
        <v>0</v>
      </c>
    </row>
    <row r="37" spans="2:10" ht="12.75" customHeight="1" x14ac:dyDescent="0.25">
      <c r="B37" s="404"/>
      <c r="C37" s="148">
        <v>16</v>
      </c>
      <c r="D37" s="36" t="str">
        <f>'Condições Gerais'!A19</f>
        <v>13º Salário</v>
      </c>
      <c r="E37" s="6">
        <f>'Condições Gerais'!B19</f>
        <v>9.0277777777777776E-2</v>
      </c>
      <c r="F37" s="7">
        <f t="shared" si="1"/>
        <v>0</v>
      </c>
    </row>
    <row r="38" spans="2:10" ht="12.75" customHeight="1" x14ac:dyDescent="0.25">
      <c r="B38" s="404"/>
      <c r="C38" s="11" t="s">
        <v>22</v>
      </c>
      <c r="D38" s="11"/>
      <c r="E38" s="12">
        <f>SUM(E30:E37)</f>
        <v>0.26092770370370372</v>
      </c>
      <c r="F38" s="13">
        <f>SUM(F30:F37)</f>
        <v>0</v>
      </c>
    </row>
    <row r="39" spans="2:10" ht="12.75" customHeight="1" x14ac:dyDescent="0.25">
      <c r="B39" s="405" t="s">
        <v>23</v>
      </c>
      <c r="C39" s="149">
        <v>17</v>
      </c>
      <c r="D39" s="37" t="str">
        <f>'Condições Gerais'!A20</f>
        <v>Indenizações  - rescisões s/ justa causa</v>
      </c>
      <c r="E39" s="14">
        <f>'Condições Gerais'!B20</f>
        <v>4.7775999999999999E-2</v>
      </c>
      <c r="F39" s="7">
        <f t="shared" si="1"/>
        <v>0</v>
      </c>
    </row>
    <row r="40" spans="2:10" ht="12.75" customHeight="1" x14ac:dyDescent="0.25">
      <c r="B40" s="405"/>
      <c r="C40" s="15" t="s">
        <v>24</v>
      </c>
      <c r="D40" s="15"/>
      <c r="E40" s="16">
        <f>SUM(E39)</f>
        <v>4.7775999999999999E-2</v>
      </c>
      <c r="F40" s="17">
        <f>SUM(F39)</f>
        <v>0</v>
      </c>
    </row>
    <row r="41" spans="2:10" s="1" customFormat="1" ht="25.5" customHeight="1" x14ac:dyDescent="0.25">
      <c r="B41" s="406" t="s">
        <v>33</v>
      </c>
      <c r="C41" s="33">
        <v>18</v>
      </c>
      <c r="D41" s="18" t="s">
        <v>37</v>
      </c>
      <c r="E41" s="34">
        <f>E29*E38</f>
        <v>9.341211792592595E-2</v>
      </c>
      <c r="F41" s="35">
        <f t="shared" si="1"/>
        <v>0</v>
      </c>
      <c r="G41" s="58"/>
      <c r="H41" s="58"/>
      <c r="I41" s="58"/>
      <c r="J41" s="58"/>
    </row>
    <row r="42" spans="2:10" ht="12.75" customHeight="1" x14ac:dyDescent="0.25">
      <c r="B42" s="406"/>
      <c r="C42" s="19" t="s">
        <v>25</v>
      </c>
      <c r="D42" s="19"/>
      <c r="E42" s="20">
        <f>SUM(E41)</f>
        <v>9.341211792592595E-2</v>
      </c>
      <c r="F42" s="21">
        <f>SUM(F41)</f>
        <v>0</v>
      </c>
    </row>
    <row r="43" spans="2:10" ht="12.75" customHeight="1" x14ac:dyDescent="0.25">
      <c r="B43" s="48" t="s">
        <v>114</v>
      </c>
      <c r="C43" s="49"/>
      <c r="D43" s="50"/>
      <c r="E43" s="20">
        <f>E29+E38+E40+E42</f>
        <v>0.76011582162962976</v>
      </c>
      <c r="F43" s="21">
        <f>F29+F38+F40+F42</f>
        <v>0</v>
      </c>
    </row>
    <row r="44" spans="2:10" ht="4.9000000000000004" customHeight="1" x14ac:dyDescent="0.25"/>
    <row r="45" spans="2:10" ht="25.5" customHeight="1" x14ac:dyDescent="0.25">
      <c r="B45" s="99" t="s">
        <v>142</v>
      </c>
      <c r="C45" s="100"/>
      <c r="D45" s="100"/>
      <c r="E45" s="101" t="s">
        <v>118</v>
      </c>
      <c r="F45" s="93" t="s">
        <v>58</v>
      </c>
    </row>
    <row r="46" spans="2:10" ht="12.75" customHeight="1" x14ac:dyDescent="0.25">
      <c r="B46" s="94"/>
      <c r="C46" s="22">
        <v>1</v>
      </c>
      <c r="D46" s="51" t="s">
        <v>140</v>
      </c>
      <c r="E46" s="61">
        <f>(F9*0.06)</f>
        <v>0</v>
      </c>
      <c r="F46" s="23">
        <f>IF(('Condições Gerais'!J33-E46)&lt;0,0,'Condições Gerais'!J33-E46)</f>
        <v>0</v>
      </c>
      <c r="G46" s="150"/>
    </row>
    <row r="47" spans="2:10" ht="12.75" customHeight="1" x14ac:dyDescent="0.25">
      <c r="B47" s="95"/>
      <c r="C47" s="22">
        <v>2</v>
      </c>
      <c r="D47" s="62" t="s">
        <v>124</v>
      </c>
      <c r="E47" s="61">
        <f>'Condições Gerais'!J37*'Condições Gerais'!J36</f>
        <v>0</v>
      </c>
      <c r="F47" s="23">
        <f>'Condições Gerais'!J37-E47</f>
        <v>0</v>
      </c>
    </row>
    <row r="48" spans="2:10" ht="12.75" customHeight="1" x14ac:dyDescent="0.25">
      <c r="B48" s="95"/>
      <c r="C48" s="22">
        <v>3</v>
      </c>
      <c r="D48" s="63" t="s">
        <v>133</v>
      </c>
      <c r="E48" s="139" t="s">
        <v>41</v>
      </c>
      <c r="F48" s="23">
        <f>'Condições Gerais'!J41</f>
        <v>47.150833333333331</v>
      </c>
    </row>
    <row r="49" spans="2:6" ht="12.75" customHeight="1" x14ac:dyDescent="0.25">
      <c r="B49" s="95"/>
      <c r="C49" s="22">
        <v>4</v>
      </c>
      <c r="D49" s="62" t="str">
        <f>'Condições Gerais'!D22</f>
        <v>INTRAJORNADA (indenizatória)</v>
      </c>
      <c r="E49" s="139" t="s">
        <v>41</v>
      </c>
      <c r="F49" s="23">
        <f>'Condições Gerais'!J23</f>
        <v>0</v>
      </c>
    </row>
    <row r="50" spans="2:6" ht="12.75" customHeight="1" x14ac:dyDescent="0.25">
      <c r="B50" s="95"/>
      <c r="C50" s="22">
        <v>5</v>
      </c>
      <c r="D50" s="62" t="str">
        <f>'Condições Gerais'!D42</f>
        <v>PAF (CCT2024, Cláus. 14ª, §4º)</v>
      </c>
      <c r="E50" s="139" t="s">
        <v>41</v>
      </c>
      <c r="F50" s="23">
        <f>'Condições Gerais'!J43</f>
        <v>0</v>
      </c>
    </row>
    <row r="51" spans="2:6" ht="12.75" customHeight="1" x14ac:dyDescent="0.25">
      <c r="B51" s="95"/>
      <c r="C51" s="22">
        <v>6</v>
      </c>
      <c r="D51" s="62" t="str">
        <f>'Condições Gerais'!D44</f>
        <v>Contr. Ass. Patronal (CCT2024, Cláus. 55ª, caput)</v>
      </c>
      <c r="E51" s="139" t="s">
        <v>41</v>
      </c>
      <c r="F51" s="23">
        <f>'Condições Gerais'!J45</f>
        <v>0</v>
      </c>
    </row>
    <row r="52" spans="2:6" ht="12.75" customHeight="1" x14ac:dyDescent="0.25">
      <c r="B52" s="95"/>
      <c r="C52" s="22">
        <v>7</v>
      </c>
      <c r="D52" s="62" t="str">
        <f>'Condições Gerais'!D46</f>
        <v>Outros custos ou benefícios da CCT</v>
      </c>
      <c r="E52" s="139" t="s">
        <v>41</v>
      </c>
      <c r="F52" s="23">
        <f>'Condições Gerais'!J47</f>
        <v>0</v>
      </c>
    </row>
    <row r="53" spans="2:6" ht="12.75" customHeight="1" x14ac:dyDescent="0.25">
      <c r="B53" s="96"/>
      <c r="C53" s="22">
        <v>8</v>
      </c>
      <c r="D53" s="62" t="str">
        <f>'Condições Gerais'!D48</f>
        <v>Outros custos ou benefícios da CCT</v>
      </c>
      <c r="E53" s="139" t="s">
        <v>41</v>
      </c>
      <c r="F53" s="23">
        <f>'Condições Gerais'!J49</f>
        <v>0</v>
      </c>
    </row>
    <row r="54" spans="2:6" ht="12.75" customHeight="1" x14ac:dyDescent="0.25">
      <c r="B54" s="96"/>
      <c r="C54" s="22">
        <v>9</v>
      </c>
      <c r="D54" s="62" t="str">
        <f>'Condições Gerais'!D50</f>
        <v>Outros custos ou benefícios da CCT</v>
      </c>
      <c r="E54" s="139" t="s">
        <v>41</v>
      </c>
      <c r="F54" s="23">
        <f>'Condições Gerais'!J51</f>
        <v>0</v>
      </c>
    </row>
    <row r="55" spans="2:6" ht="12.75" customHeight="1" x14ac:dyDescent="0.25">
      <c r="B55" s="96"/>
      <c r="C55" s="22">
        <v>10</v>
      </c>
      <c r="D55" s="62" t="str">
        <f>'Condições Gerais'!D52</f>
        <v>Outros custos ou benefícios da CCT</v>
      </c>
      <c r="E55" s="139" t="s">
        <v>41</v>
      </c>
      <c r="F55" s="23">
        <f>'Condições Gerais'!J53</f>
        <v>0</v>
      </c>
    </row>
    <row r="56" spans="2:6" ht="12.75" customHeight="1" x14ac:dyDescent="0.25">
      <c r="B56" s="96"/>
      <c r="C56" s="22">
        <v>11</v>
      </c>
      <c r="D56" s="62" t="str">
        <f>'Condições Gerais'!D54</f>
        <v>Outros custos ou benefícios da CCT</v>
      </c>
      <c r="E56" s="139" t="s">
        <v>41</v>
      </c>
      <c r="F56" s="23">
        <f>'Condições Gerais'!J55</f>
        <v>0</v>
      </c>
    </row>
    <row r="57" spans="2:6" ht="12.75" customHeight="1" x14ac:dyDescent="0.25">
      <c r="B57" s="48" t="s">
        <v>143</v>
      </c>
      <c r="C57" s="49"/>
      <c r="D57" s="49"/>
      <c r="E57" s="50"/>
      <c r="F57" s="30">
        <f>SUM(F46:F56)</f>
        <v>47.150833333333331</v>
      </c>
    </row>
    <row r="58" spans="2:6" ht="4.9000000000000004" customHeight="1" x14ac:dyDescent="0.25"/>
    <row r="59" spans="2:6" ht="12.75" customHeight="1" x14ac:dyDescent="0.25">
      <c r="B59" s="45" t="s">
        <v>145</v>
      </c>
      <c r="C59" s="46"/>
      <c r="D59" s="46"/>
      <c r="E59" s="102"/>
      <c r="F59" s="93" t="s">
        <v>58</v>
      </c>
    </row>
    <row r="60" spans="2:6" ht="12.75" customHeight="1" x14ac:dyDescent="0.25">
      <c r="B60" s="40" t="s">
        <v>113</v>
      </c>
      <c r="C60" s="41"/>
      <c r="D60" s="41"/>
      <c r="E60" s="102"/>
      <c r="F60" s="38">
        <f>F18</f>
        <v>0</v>
      </c>
    </row>
    <row r="61" spans="2:6" ht="12.75" customHeight="1" x14ac:dyDescent="0.25">
      <c r="B61" s="42" t="s">
        <v>114</v>
      </c>
      <c r="C61" s="43"/>
      <c r="D61" s="43"/>
      <c r="E61" s="102"/>
      <c r="F61" s="39">
        <f>F43</f>
        <v>0</v>
      </c>
    </row>
    <row r="62" spans="2:6" ht="12.75" customHeight="1" x14ac:dyDescent="0.25">
      <c r="B62" s="42" t="s">
        <v>143</v>
      </c>
      <c r="C62" s="43"/>
      <c r="D62" s="43"/>
      <c r="E62" s="102"/>
      <c r="F62" s="39">
        <f>F57</f>
        <v>47.150833333333331</v>
      </c>
    </row>
    <row r="63" spans="2:6" ht="12.75" customHeight="1" x14ac:dyDescent="0.25">
      <c r="B63" s="65" t="s">
        <v>64</v>
      </c>
      <c r="C63" s="88"/>
      <c r="D63" s="88"/>
      <c r="E63" s="64"/>
      <c r="F63" s="60">
        <f>SUM(F60:F62)</f>
        <v>47.150833333333331</v>
      </c>
    </row>
    <row r="64" spans="2:6" ht="4.9000000000000004" customHeight="1" x14ac:dyDescent="0.25"/>
    <row r="65" spans="2:6" ht="12.75" customHeight="1" x14ac:dyDescent="0.25">
      <c r="B65" s="65" t="s">
        <v>273</v>
      </c>
      <c r="C65" s="66"/>
      <c r="D65" s="66"/>
      <c r="E65" s="103" t="s">
        <v>4</v>
      </c>
      <c r="F65" s="93" t="s">
        <v>58</v>
      </c>
    </row>
    <row r="66" spans="2:6" ht="12.75" customHeight="1" x14ac:dyDescent="0.25">
      <c r="B66" s="65" t="s">
        <v>274</v>
      </c>
      <c r="C66" s="88"/>
      <c r="D66" s="88"/>
      <c r="E66" s="164">
        <f>'Condições Gerais'!B38</f>
        <v>0</v>
      </c>
      <c r="F66" s="165">
        <f>E66*F63</f>
        <v>0</v>
      </c>
    </row>
    <row r="67" spans="2:6" ht="4.9000000000000004" customHeight="1" x14ac:dyDescent="0.25"/>
    <row r="68" spans="2:6" ht="12.75" customHeight="1" x14ac:dyDescent="0.25">
      <c r="B68" s="65" t="s">
        <v>261</v>
      </c>
      <c r="C68" s="66"/>
      <c r="D68" s="66"/>
      <c r="E68" s="166"/>
      <c r="F68" s="93" t="s">
        <v>58</v>
      </c>
    </row>
    <row r="69" spans="2:6" ht="12.75" customHeight="1" x14ac:dyDescent="0.25">
      <c r="B69" s="65" t="s">
        <v>262</v>
      </c>
      <c r="C69" s="88"/>
      <c r="D69" s="88"/>
      <c r="E69" s="167"/>
      <c r="F69" s="165">
        <f>F63+F66</f>
        <v>47.150833333333331</v>
      </c>
    </row>
    <row r="70" spans="2:6" ht="4.9000000000000004" customHeight="1" x14ac:dyDescent="0.25"/>
    <row r="71" spans="2:6" ht="12.75" customHeight="1" x14ac:dyDescent="0.25">
      <c r="B71" s="45" t="s">
        <v>263</v>
      </c>
      <c r="C71" s="46"/>
      <c r="D71" s="47"/>
      <c r="E71" s="103" t="s">
        <v>4</v>
      </c>
      <c r="F71" s="93" t="s">
        <v>38</v>
      </c>
    </row>
    <row r="72" spans="2:6" ht="12.75" customHeight="1" x14ac:dyDescent="0.25">
      <c r="B72" s="28"/>
      <c r="C72" s="3">
        <v>1</v>
      </c>
      <c r="D72" s="24" t="str">
        <f>'Condições Gerais'!A33</f>
        <v>PIS</v>
      </c>
      <c r="E72" s="25">
        <f>'Condições Gerais'!B33</f>
        <v>1.6500000000000001E-2</v>
      </c>
      <c r="F72" s="26">
        <f>E72*F$79</f>
        <v>0.9072755102040817</v>
      </c>
    </row>
    <row r="73" spans="2:6" ht="12.75" customHeight="1" x14ac:dyDescent="0.25">
      <c r="B73" s="29"/>
      <c r="C73" s="3">
        <v>2</v>
      </c>
      <c r="D73" s="24" t="str">
        <f>'Condições Gerais'!A34</f>
        <v>COFINS</v>
      </c>
      <c r="E73" s="25">
        <f>'Condições Gerais'!B34</f>
        <v>7.5999999999999998E-2</v>
      </c>
      <c r="F73" s="26">
        <f>E73*F$79</f>
        <v>4.1789659863945579</v>
      </c>
    </row>
    <row r="74" spans="2:6" ht="12.75" customHeight="1" x14ac:dyDescent="0.25">
      <c r="B74" s="29"/>
      <c r="C74" s="3">
        <v>3</v>
      </c>
      <c r="D74" s="24" t="str">
        <f>'Condições Gerais'!A35</f>
        <v>ISS</v>
      </c>
      <c r="E74" s="25">
        <f>'Condições Gerais'!B35</f>
        <v>0.05</v>
      </c>
      <c r="F74" s="26">
        <f>E74*F$79</f>
        <v>2.749319727891157</v>
      </c>
    </row>
    <row r="75" spans="2:6" ht="12.75" customHeight="1" x14ac:dyDescent="0.25">
      <c r="B75" s="48" t="s">
        <v>34</v>
      </c>
      <c r="C75" s="49"/>
      <c r="D75" s="50"/>
      <c r="E75" s="27">
        <f>SUM(E72:E74)</f>
        <v>0.14250000000000002</v>
      </c>
      <c r="F75" s="31">
        <f>E75*F$79</f>
        <v>7.8355612244897976</v>
      </c>
    </row>
    <row r="76" spans="2:6" ht="4.9000000000000004" customHeight="1" x14ac:dyDescent="0.25"/>
    <row r="77" spans="2:6" ht="12.75" customHeight="1" x14ac:dyDescent="0.25">
      <c r="B77" s="45" t="s">
        <v>264</v>
      </c>
      <c r="C77" s="46"/>
      <c r="D77" s="47"/>
      <c r="E77" s="103" t="s">
        <v>4</v>
      </c>
      <c r="F77" s="93" t="s">
        <v>38</v>
      </c>
    </row>
    <row r="78" spans="2:6" s="104" customFormat="1" ht="12.75" customHeight="1" x14ac:dyDescent="0.25">
      <c r="B78" s="69" t="s">
        <v>265</v>
      </c>
      <c r="C78" s="70"/>
      <c r="D78" s="71"/>
      <c r="E78" s="72">
        <f>1-E75</f>
        <v>0.85749999999999993</v>
      </c>
      <c r="F78" s="140" t="s">
        <v>41</v>
      </c>
    </row>
    <row r="79" spans="2:6" s="104" customFormat="1" ht="12.75" customHeight="1" x14ac:dyDescent="0.25">
      <c r="B79" s="69" t="s">
        <v>125</v>
      </c>
      <c r="C79" s="70"/>
      <c r="D79" s="71"/>
      <c r="E79" s="72">
        <v>1</v>
      </c>
      <c r="F79" s="73">
        <f>F69/E78</f>
        <v>54.986394557823132</v>
      </c>
    </row>
    <row r="80" spans="2:6" s="104" customFormat="1" ht="12.75" customHeight="1" x14ac:dyDescent="0.25">
      <c r="B80" s="74" t="s">
        <v>266</v>
      </c>
      <c r="C80" s="75"/>
      <c r="D80" s="76"/>
      <c r="E80" s="77"/>
      <c r="F80" s="78"/>
    </row>
    <row r="81" spans="2:6" ht="4.9000000000000004" customHeight="1" x14ac:dyDescent="0.25"/>
    <row r="82" spans="2:6" s="104" customFormat="1" ht="25.5" customHeight="1" x14ac:dyDescent="0.25">
      <c r="B82" s="69" t="s">
        <v>268</v>
      </c>
      <c r="C82" s="70"/>
      <c r="D82" s="71"/>
      <c r="E82" s="2" t="s">
        <v>60</v>
      </c>
      <c r="F82" s="68" t="s">
        <v>36</v>
      </c>
    </row>
    <row r="83" spans="2:6" ht="12.75" customHeight="1" x14ac:dyDescent="0.25">
      <c r="B83" s="74"/>
      <c r="C83" s="75"/>
      <c r="D83" s="76"/>
      <c r="E83" s="143">
        <f>'Condições Gerais'!J14</f>
        <v>0</v>
      </c>
      <c r="F83" s="68">
        <f>F79*E83</f>
        <v>0</v>
      </c>
    </row>
    <row r="84" spans="2:6" ht="4.9000000000000004" customHeight="1" x14ac:dyDescent="0.25"/>
    <row r="85" spans="2:6" s="104" customFormat="1" ht="25.5" customHeight="1" x14ac:dyDescent="0.25">
      <c r="B85" s="69" t="s">
        <v>267</v>
      </c>
      <c r="C85" s="70"/>
      <c r="D85" s="71"/>
      <c r="E85" s="2" t="s">
        <v>35</v>
      </c>
      <c r="F85" s="68" t="s">
        <v>59</v>
      </c>
    </row>
    <row r="86" spans="2:6" ht="12.75" customHeight="1" x14ac:dyDescent="0.25">
      <c r="B86" s="74"/>
      <c r="C86" s="75"/>
      <c r="D86" s="76"/>
      <c r="E86" s="105">
        <f>'Condições Gerais'!B8</f>
        <v>12</v>
      </c>
      <c r="F86" s="68">
        <f>F83*E86</f>
        <v>0</v>
      </c>
    </row>
  </sheetData>
  <sheetProtection algorithmName="SHA-512" hashValue="Bo3xhjvOBOoMk4hnjR/Icw+6zQ50OMGOFPJLGpDE/NREtdIWDSFClVXBKtDQltUpf1u+OjBtGdSyC9UuiiZv1w==" saltValue="jPBTaQaqMhXKE3kiDbpWxg==" spinCount="100000" sheet="1" objects="1" scenarios="1"/>
  <mergeCells count="7">
    <mergeCell ref="B39:B40"/>
    <mergeCell ref="B41:B42"/>
    <mergeCell ref="B1:F1"/>
    <mergeCell ref="B2:F2"/>
    <mergeCell ref="B4:F4"/>
    <mergeCell ref="B21:B29"/>
    <mergeCell ref="B30:B3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10</vt:i4>
      </vt:variant>
    </vt:vector>
  </HeadingPairs>
  <TitlesOfParts>
    <vt:vector size="23" baseType="lpstr">
      <vt:lpstr>Proposta Empresa</vt:lpstr>
      <vt:lpstr>Equip Mat</vt:lpstr>
      <vt:lpstr>Condições Gerais</vt:lpstr>
      <vt:lpstr>horas extras</vt:lpstr>
      <vt:lpstr>Ajuda</vt:lpstr>
      <vt:lpstr>1</vt:lpstr>
      <vt:lpstr>2</vt:lpstr>
      <vt:lpstr>3</vt:lpstr>
      <vt:lpstr>4</vt:lpstr>
      <vt:lpstr>5</vt:lpstr>
      <vt:lpstr>6</vt:lpstr>
      <vt:lpstr>7</vt:lpstr>
      <vt:lpstr>Dotação</vt:lpstr>
      <vt:lpstr>'1'!Area_de_impressao</vt:lpstr>
      <vt:lpstr>'2'!Area_de_impressao</vt:lpstr>
      <vt:lpstr>'3'!Area_de_impressao</vt:lpstr>
      <vt:lpstr>'4'!Area_de_impressao</vt:lpstr>
      <vt:lpstr>Dotação!Area_de_impressao</vt:lpstr>
      <vt:lpstr>'horas extras'!Area_de_impressao</vt:lpstr>
      <vt:lpstr>'Proposta Empresa'!Area_de_impressao</vt:lpstr>
      <vt:lpstr>Ajuda!Titulos_de_impressao</vt:lpstr>
      <vt:lpstr>'Condições Gerais'!Titulos_de_impressao</vt:lpstr>
      <vt:lpstr>Dotação!Titulos_de_impressao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Lucas Faria</cp:lastModifiedBy>
  <cp:lastPrinted>2024-09-30T14:39:34Z</cp:lastPrinted>
  <dcterms:created xsi:type="dcterms:W3CDTF">2009-08-13T13:41:27Z</dcterms:created>
  <dcterms:modified xsi:type="dcterms:W3CDTF">2024-09-30T17:52:37Z</dcterms:modified>
</cp:coreProperties>
</file>