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verrin.pbh\GECOL\Setor de Licitações\Editais\PREGÃO ELETRÔNICO\2024\PE18-2024 - Manuteção de Elevadores e Escadas Rolantes\Edital e Anexos\"/>
    </mc:Choice>
  </mc:AlternateContent>
  <bookViews>
    <workbookView xWindow="0" yWindow="0" windowWidth="24000" windowHeight="9645"/>
  </bookViews>
  <sheets>
    <sheet name="Apêndice IX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8" i="1" l="1"/>
  <c r="F29" i="1"/>
  <c r="I29" i="1" s="1"/>
  <c r="F30" i="1"/>
  <c r="H30" i="1" s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27" i="1"/>
  <c r="H27" i="1" s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27" i="1"/>
  <c r="H28" i="1"/>
  <c r="H29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F52" i="1"/>
  <c r="I30" i="1"/>
  <c r="H31" i="1"/>
  <c r="I28" i="1"/>
  <c r="I47" i="1" l="1"/>
  <c r="F57" i="1"/>
  <c r="J44" i="1" s="1"/>
  <c r="K44" i="1" s="1"/>
  <c r="H47" i="1"/>
  <c r="F53" i="1" s="1"/>
  <c r="F56" i="1"/>
  <c r="J41" i="1" s="1"/>
  <c r="K41" i="1" s="1"/>
  <c r="F50" i="1"/>
  <c r="I8" i="1"/>
  <c r="J38" i="1" l="1"/>
  <c r="K38" i="1" s="1"/>
  <c r="F51" i="1"/>
  <c r="J29" i="1" s="1"/>
  <c r="K29" i="1" s="1"/>
  <c r="I9" i="1"/>
  <c r="K3" i="1" s="1"/>
  <c r="L3" i="1" s="1"/>
  <c r="J32" i="1" l="1"/>
  <c r="K32" i="1" s="1"/>
  <c r="J35" i="1" l="1"/>
  <c r="K35" i="1" l="1"/>
  <c r="K46" i="1" s="1"/>
</calcChain>
</file>

<file path=xl/sharedStrings.xml><?xml version="1.0" encoding="utf-8"?>
<sst xmlns="http://schemas.openxmlformats.org/spreadsheetml/2006/main" count="54" uniqueCount="46">
  <si>
    <t>MTBF (H)</t>
  </si>
  <si>
    <t>Fmtbf</t>
  </si>
  <si>
    <t>MTTR (h)</t>
  </si>
  <si>
    <t>Fmttr</t>
  </si>
  <si>
    <t>A (%)</t>
  </si>
  <si>
    <t>Fa</t>
  </si>
  <si>
    <t>PMC (%)</t>
  </si>
  <si>
    <t>Fpmc</t>
  </si>
  <si>
    <t>MTR-D (h)</t>
  </si>
  <si>
    <t>MTR-I (h)</t>
  </si>
  <si>
    <t>Fmtr-i</t>
  </si>
  <si>
    <t>Fmtr-d</t>
  </si>
  <si>
    <t>Fsla</t>
  </si>
  <si>
    <t xml:space="preserve">Horas parado (Tr) </t>
  </si>
  <si>
    <t>Total de horas operando previsto</t>
  </si>
  <si>
    <t>Horas por dia (h)</t>
  </si>
  <si>
    <t>maior atendimeto disponível (Rd)</t>
  </si>
  <si>
    <t>maior atend indisponível (Ri)</t>
  </si>
  <si>
    <t>N. de falhas</t>
  </si>
  <si>
    <t>Total de horas operando (Td)</t>
  </si>
  <si>
    <t>Dias no mês</t>
  </si>
  <si>
    <t>Preventiva realizada (Or)</t>
  </si>
  <si>
    <t>Preventiva prevista (Op)</t>
  </si>
  <si>
    <t>Equipamento:</t>
  </si>
  <si>
    <t>Elevador 3</t>
  </si>
  <si>
    <t>ABERTURA DE FALHA</t>
  </si>
  <si>
    <t>FECHAMENTO DE FALHA</t>
  </si>
  <si>
    <t>S</t>
  </si>
  <si>
    <t>N</t>
  </si>
  <si>
    <t>INDISP.</t>
  </si>
  <si>
    <t>N.</t>
  </si>
  <si>
    <t>Local:</t>
  </si>
  <si>
    <t>Período:</t>
  </si>
  <si>
    <t>Estação São Gabriel - Plataforma AB</t>
  </si>
  <si>
    <t>Operação de preventiva realizada (Or)</t>
  </si>
  <si>
    <t>Operação de Preventiva prevista (Op)</t>
  </si>
  <si>
    <t>Maior tempo de atendimento indisponível (Ri)</t>
  </si>
  <si>
    <t>Maior tempo de atendimeto disponível (Rd)</t>
  </si>
  <si>
    <t>FATOR DE DESEMPENHO</t>
  </si>
  <si>
    <t>Dias no mês (d)</t>
  </si>
  <si>
    <t>ORDEM SERV.</t>
  </si>
  <si>
    <t>JAN/2024</t>
  </si>
  <si>
    <t>N. de falhas (N)</t>
  </si>
  <si>
    <t>Total de horas operando previsto (h)</t>
  </si>
  <si>
    <t>HORAS EM FALHA</t>
  </si>
  <si>
    <t>Apêndice IX
Modelo de Planilha de Apuração de Fator de Desempenho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</si>
</sst>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d/m/yy\ h:mm;@"/>
    <numFmt numFmtId="165" formatCode="0.0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78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0" fillId="3" borderId="0" xfId="0" applyFill="1"/>
    <xf numFmtId="0" fontId="2" fillId="3" borderId="0" xfId="0" applyFont="1" applyFill="1" applyAlignment="1">
      <alignment horizontal="center"/>
    </xf>
    <xf numFmtId="17" fontId="0" fillId="3" borderId="0" xfId="0" applyNumberFormat="1" applyFill="1"/>
    <xf numFmtId="2" fontId="2" fillId="3" borderId="0" xfId="0" applyNumberFormat="1" applyFont="1" applyFill="1"/>
    <xf numFmtId="2" fontId="0" fillId="3" borderId="0" xfId="0" applyNumberFormat="1" applyFont="1" applyFill="1" applyAlignment="1">
      <alignment horizontal="center"/>
    </xf>
    <xf numFmtId="0" fontId="0" fillId="3" borderId="0" xfId="0" applyFont="1" applyFill="1" applyAlignment="1">
      <alignment horizontal="center"/>
    </xf>
    <xf numFmtId="0" fontId="0" fillId="0" borderId="0" xfId="0" applyFill="1"/>
    <xf numFmtId="0" fontId="2" fillId="0" borderId="1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0" fontId="2" fillId="0" borderId="6" xfId="0" applyFont="1" applyFill="1" applyBorder="1"/>
    <xf numFmtId="0" fontId="0" fillId="0" borderId="7" xfId="0" applyBorder="1"/>
    <xf numFmtId="0" fontId="2" fillId="0" borderId="6" xfId="0" applyFont="1" applyFill="1" applyBorder="1" applyAlignment="1">
      <alignment horizontal="left"/>
    </xf>
    <xf numFmtId="0" fontId="2" fillId="0" borderId="8" xfId="0" applyFont="1" applyFill="1" applyBorder="1" applyAlignment="1">
      <alignment horizontal="left"/>
    </xf>
    <xf numFmtId="2" fontId="0" fillId="2" borderId="9" xfId="0" applyNumberFormat="1" applyFill="1" applyBorder="1" applyAlignment="1">
      <alignment horizontal="center"/>
    </xf>
    <xf numFmtId="16" fontId="0" fillId="0" borderId="0" xfId="0" applyNumberFormat="1" applyAlignment="1">
      <alignment horizontal="left"/>
    </xf>
    <xf numFmtId="0" fontId="0" fillId="0" borderId="0" xfId="0" applyBorder="1"/>
    <xf numFmtId="0" fontId="2" fillId="4" borderId="1" xfId="0" applyFont="1" applyFill="1" applyBorder="1" applyAlignment="1">
      <alignment horizontal="center"/>
    </xf>
    <xf numFmtId="0" fontId="2" fillId="4" borderId="1" xfId="0" applyFont="1" applyFill="1" applyBorder="1" applyAlignment="1">
      <alignment horizontal="center" wrapText="1"/>
    </xf>
    <xf numFmtId="2" fontId="0" fillId="5" borderId="1" xfId="0" applyNumberFormat="1" applyFont="1" applyFill="1" applyBorder="1" applyAlignment="1">
      <alignment horizontal="center"/>
    </xf>
    <xf numFmtId="2" fontId="0" fillId="5" borderId="5" xfId="0" applyNumberFormat="1" applyFill="1" applyBorder="1" applyAlignment="1">
      <alignment horizontal="center"/>
    </xf>
    <xf numFmtId="2" fontId="0" fillId="5" borderId="4" xfId="0" applyNumberFormat="1" applyFill="1" applyBorder="1" applyAlignment="1">
      <alignment horizontal="center"/>
    </xf>
    <xf numFmtId="2" fontId="0" fillId="5" borderId="4" xfId="1" applyNumberFormat="1" applyFont="1" applyFill="1" applyBorder="1" applyAlignment="1">
      <alignment horizontal="center"/>
    </xf>
    <xf numFmtId="0" fontId="0" fillId="5" borderId="5" xfId="0" applyFill="1" applyBorder="1" applyAlignment="1">
      <alignment horizontal="center"/>
    </xf>
    <xf numFmtId="0" fontId="2" fillId="5" borderId="1" xfId="0" applyFont="1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165" fontId="2" fillId="5" borderId="1" xfId="0" applyNumberFormat="1" applyFont="1" applyFill="1" applyBorder="1" applyAlignment="1">
      <alignment horizontal="center"/>
    </xf>
    <xf numFmtId="2" fontId="2" fillId="5" borderId="1" xfId="0" applyNumberFormat="1" applyFont="1" applyFill="1" applyBorder="1" applyAlignment="1">
      <alignment horizontal="center"/>
    </xf>
    <xf numFmtId="0" fontId="2" fillId="0" borderId="0" xfId="0" applyFont="1" applyFill="1" applyBorder="1" applyAlignment="1"/>
    <xf numFmtId="0" fontId="0" fillId="0" borderId="14" xfId="0" applyFill="1" applyBorder="1"/>
    <xf numFmtId="0" fontId="0" fillId="0" borderId="16" xfId="0" applyFill="1" applyBorder="1"/>
    <xf numFmtId="0" fontId="2" fillId="0" borderId="17" xfId="0" applyFont="1" applyFill="1" applyBorder="1" applyAlignment="1">
      <alignment horizontal="center"/>
    </xf>
    <xf numFmtId="2" fontId="0" fillId="0" borderId="17" xfId="0" applyNumberFormat="1" applyFill="1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19" xfId="0" applyBorder="1"/>
    <xf numFmtId="0" fontId="0" fillId="0" borderId="19" xfId="0" applyBorder="1" applyAlignment="1">
      <alignment horizontal="center"/>
    </xf>
    <xf numFmtId="0" fontId="0" fillId="3" borderId="19" xfId="0" applyFill="1" applyBorder="1"/>
    <xf numFmtId="0" fontId="2" fillId="0" borderId="15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3" borderId="0" xfId="0" applyFont="1" applyFill="1" applyBorder="1" applyAlignment="1">
      <alignment horizontal="center"/>
    </xf>
    <xf numFmtId="0" fontId="2" fillId="0" borderId="11" xfId="0" applyFont="1" applyFill="1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3" borderId="0" xfId="0" applyFill="1" applyBorder="1"/>
    <xf numFmtId="0" fontId="0" fillId="0" borderId="11" xfId="0" applyFill="1" applyBorder="1" applyAlignment="1">
      <alignment horizontal="center"/>
    </xf>
    <xf numFmtId="0" fontId="2" fillId="0" borderId="0" xfId="0" applyFont="1" applyBorder="1"/>
    <xf numFmtId="0" fontId="2" fillId="3" borderId="0" xfId="0" applyFont="1" applyFill="1" applyBorder="1"/>
    <xf numFmtId="0" fontId="2" fillId="3" borderId="0" xfId="0" applyFont="1" applyFill="1" applyBorder="1" applyAlignment="1">
      <alignment horizontal="left"/>
    </xf>
    <xf numFmtId="0" fontId="0" fillId="0" borderId="0" xfId="0" applyBorder="1" applyAlignment="1">
      <alignment horizontal="right"/>
    </xf>
    <xf numFmtId="0" fontId="0" fillId="3" borderId="0" xfId="0" applyFill="1" applyBorder="1" applyAlignment="1">
      <alignment horizontal="left"/>
    </xf>
    <xf numFmtId="0" fontId="2" fillId="0" borderId="0" xfId="0" applyFont="1" applyBorder="1" applyAlignment="1">
      <alignment horizontal="left"/>
    </xf>
    <xf numFmtId="0" fontId="2" fillId="0" borderId="0" xfId="0" applyFont="1" applyBorder="1" applyAlignment="1">
      <alignment horizontal="right"/>
    </xf>
    <xf numFmtId="2" fontId="2" fillId="3" borderId="0" xfId="0" applyNumberFormat="1" applyFont="1" applyFill="1" applyBorder="1" applyAlignment="1">
      <alignment horizontal="left"/>
    </xf>
    <xf numFmtId="2" fontId="0" fillId="0" borderId="0" xfId="0" applyNumberFormat="1" applyBorder="1"/>
    <xf numFmtId="0" fontId="0" fillId="2" borderId="1" xfId="0" applyFont="1" applyFill="1" applyBorder="1" applyAlignment="1">
      <alignment horizontal="center"/>
    </xf>
    <xf numFmtId="164" fontId="0" fillId="2" borderId="1" xfId="0" applyNumberFormat="1" applyFont="1" applyFill="1" applyBorder="1" applyAlignment="1">
      <alignment horizontal="left"/>
    </xf>
    <xf numFmtId="0" fontId="0" fillId="2" borderId="1" xfId="0" applyFill="1" applyBorder="1" applyAlignment="1">
      <alignment horizontal="center"/>
    </xf>
    <xf numFmtId="0" fontId="0" fillId="2" borderId="1" xfId="0" applyFill="1" applyBorder="1"/>
    <xf numFmtId="0" fontId="0" fillId="0" borderId="0" xfId="0" applyFill="1" applyBorder="1"/>
    <xf numFmtId="164" fontId="0" fillId="2" borderId="1" xfId="0" applyNumberFormat="1" applyFont="1" applyFill="1" applyBorder="1" applyAlignment="1">
      <alignment horizontal="center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2" fillId="0" borderId="8" xfId="0" applyFont="1" applyFill="1" applyBorder="1" applyAlignment="1">
      <alignment horizontal="center" wrapText="1"/>
    </xf>
    <xf numFmtId="0" fontId="2" fillId="0" borderId="13" xfId="0" applyFont="1" applyFill="1" applyBorder="1" applyAlignment="1">
      <alignment horizontal="center" wrapText="1"/>
    </xf>
    <xf numFmtId="0" fontId="2" fillId="0" borderId="4" xfId="0" applyFont="1" applyBorder="1" applyAlignment="1">
      <alignment horizontal="left"/>
    </xf>
    <xf numFmtId="0" fontId="2" fillId="0" borderId="12" xfId="0" applyFont="1" applyBorder="1" applyAlignment="1">
      <alignment horizontal="left"/>
    </xf>
    <xf numFmtId="0" fontId="2" fillId="0" borderId="10" xfId="0" applyFont="1" applyBorder="1" applyAlignment="1">
      <alignment horizontal="left"/>
    </xf>
    <xf numFmtId="0" fontId="2" fillId="0" borderId="1" xfId="0" applyFont="1" applyBorder="1" applyAlignment="1">
      <alignment horizontal="left"/>
    </xf>
    <xf numFmtId="0" fontId="0" fillId="0" borderId="1" xfId="0" applyBorder="1" applyAlignment="1">
      <alignment horizontal="left"/>
    </xf>
    <xf numFmtId="0" fontId="0" fillId="0" borderId="11" xfId="0" applyBorder="1" applyAlignment="1">
      <alignment horizontal="left"/>
    </xf>
    <xf numFmtId="49" fontId="0" fillId="0" borderId="12" xfId="0" applyNumberFormat="1" applyBorder="1" applyAlignment="1">
      <alignment horizontal="left"/>
    </xf>
    <xf numFmtId="49" fontId="0" fillId="0" borderId="5" xfId="0" applyNumberFormat="1" applyBorder="1" applyAlignment="1">
      <alignment horizontal="left"/>
    </xf>
  </cellXfs>
  <cellStyles count="2">
    <cellStyle name="Normal" xfId="0" builtinId="0"/>
    <cellStyle name="Porcentagem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7"/>
  <sheetViews>
    <sheetView tabSelected="1" topLeftCell="A20" zoomScaleNormal="100" zoomScaleSheetLayoutView="100" workbookViewId="0">
      <selection activeCell="A21" sqref="A21"/>
    </sheetView>
  </sheetViews>
  <sheetFormatPr defaultRowHeight="15" x14ac:dyDescent="0.25"/>
  <cols>
    <col min="1" max="1" width="7.28515625" style="5" customWidth="1"/>
    <col min="2" max="2" width="7.85546875" customWidth="1"/>
    <col min="3" max="3" width="13.85546875" customWidth="1"/>
    <col min="4" max="4" width="13.7109375" customWidth="1"/>
    <col min="5" max="5" width="7.5703125" bestFit="1" customWidth="1"/>
    <col min="6" max="6" width="11" customWidth="1"/>
    <col min="7" max="7" width="2.42578125" style="5" customWidth="1"/>
    <col min="8" max="8" width="7.7109375" hidden="1" customWidth="1"/>
    <col min="9" max="9" width="6.5703125" hidden="1" customWidth="1"/>
    <col min="10" max="10" width="11" customWidth="1"/>
    <col min="11" max="11" width="8.7109375" style="12" customWidth="1"/>
    <col min="12" max="12" width="12.140625" style="12" bestFit="1" customWidth="1"/>
  </cols>
  <sheetData>
    <row r="1" spans="1:12" hidden="1" x14ac:dyDescent="0.25">
      <c r="A1" s="39"/>
      <c r="B1" s="40"/>
      <c r="C1" s="40"/>
      <c r="D1" s="40"/>
      <c r="E1" s="40"/>
      <c r="F1" s="40"/>
      <c r="G1" s="41"/>
      <c r="H1" s="42"/>
      <c r="I1" s="42"/>
      <c r="J1" s="40"/>
      <c r="K1" s="35"/>
    </row>
    <row r="2" spans="1:12" s="2" customFormat="1" hidden="1" x14ac:dyDescent="0.25">
      <c r="A2" s="43"/>
      <c r="B2" s="44"/>
      <c r="C2" s="44"/>
      <c r="D2" s="44"/>
      <c r="E2" s="44"/>
      <c r="F2" s="44"/>
      <c r="G2" s="44"/>
      <c r="H2" s="45"/>
      <c r="I2" s="45"/>
      <c r="J2" s="44"/>
      <c r="K2" s="46" t="s">
        <v>0</v>
      </c>
      <c r="L2" s="37" t="s">
        <v>1</v>
      </c>
    </row>
    <row r="3" spans="1:12" hidden="1" x14ac:dyDescent="0.25">
      <c r="A3" s="47"/>
      <c r="B3" s="22"/>
      <c r="C3" s="22"/>
      <c r="D3" s="22"/>
      <c r="E3" s="22"/>
      <c r="F3" s="22"/>
      <c r="G3" s="48"/>
      <c r="H3" s="49"/>
      <c r="I3" s="49"/>
      <c r="J3" s="22"/>
      <c r="K3" s="50">
        <f>IF(I10=0,999,I9/I10)</f>
        <v>300</v>
      </c>
      <c r="L3" s="38">
        <f>ROUND(IF(K3&lt;200,0.005*K3,1),2)</f>
        <v>1</v>
      </c>
    </row>
    <row r="4" spans="1:12" hidden="1" x14ac:dyDescent="0.25">
      <c r="A4" s="47"/>
      <c r="B4" s="22"/>
      <c r="C4" s="22"/>
      <c r="D4" s="22"/>
      <c r="E4" s="22"/>
      <c r="F4" s="22"/>
      <c r="G4" s="48"/>
      <c r="H4" s="49"/>
      <c r="I4" s="49"/>
      <c r="J4" s="22"/>
      <c r="K4" s="36"/>
    </row>
    <row r="5" spans="1:12" hidden="1" x14ac:dyDescent="0.25">
      <c r="A5" s="47"/>
      <c r="B5" s="22"/>
      <c r="C5" s="22"/>
      <c r="D5" s="22"/>
      <c r="E5" s="22"/>
      <c r="F5" s="22"/>
      <c r="G5" s="48"/>
      <c r="H5" s="49"/>
      <c r="I5" s="49"/>
      <c r="J5" s="22"/>
      <c r="K5" s="36"/>
    </row>
    <row r="6" spans="1:12" hidden="1" x14ac:dyDescent="0.25">
      <c r="A6" s="47"/>
      <c r="B6" s="51" t="s">
        <v>15</v>
      </c>
      <c r="C6" s="51"/>
      <c r="D6" s="51"/>
      <c r="E6" s="51"/>
      <c r="F6" s="51"/>
      <c r="G6" s="44"/>
      <c r="H6" s="52"/>
      <c r="I6" s="53">
        <v>20</v>
      </c>
      <c r="J6" s="22"/>
      <c r="K6" s="36"/>
    </row>
    <row r="7" spans="1:12" hidden="1" x14ac:dyDescent="0.25">
      <c r="A7" s="47"/>
      <c r="B7" s="51" t="s">
        <v>20</v>
      </c>
      <c r="C7" s="51"/>
      <c r="D7" s="51"/>
      <c r="E7" s="51"/>
      <c r="F7" s="51"/>
      <c r="G7" s="44"/>
      <c r="H7" s="52"/>
      <c r="I7" s="53">
        <v>30</v>
      </c>
      <c r="J7" s="54"/>
      <c r="K7" s="36"/>
    </row>
    <row r="8" spans="1:12" hidden="1" x14ac:dyDescent="0.25">
      <c r="A8" s="47"/>
      <c r="B8" s="51" t="s">
        <v>14</v>
      </c>
      <c r="C8" s="51"/>
      <c r="D8" s="51"/>
      <c r="E8" s="51"/>
      <c r="F8" s="51"/>
      <c r="G8" s="44"/>
      <c r="H8" s="52"/>
      <c r="I8" s="55">
        <f>I7*I6</f>
        <v>600</v>
      </c>
      <c r="J8" s="54"/>
      <c r="K8" s="36"/>
    </row>
    <row r="9" spans="1:12" hidden="1" x14ac:dyDescent="0.25">
      <c r="A9" s="47"/>
      <c r="B9" s="56" t="s">
        <v>19</v>
      </c>
      <c r="C9" s="56"/>
      <c r="D9" s="56"/>
      <c r="E9" s="56"/>
      <c r="F9" s="56"/>
      <c r="G9" s="44"/>
      <c r="H9" s="53"/>
      <c r="I9" s="55">
        <f>I8-I11</f>
        <v>300</v>
      </c>
      <c r="J9" s="57"/>
      <c r="K9" s="36"/>
    </row>
    <row r="10" spans="1:12" hidden="1" x14ac:dyDescent="0.25">
      <c r="A10" s="47"/>
      <c r="B10" s="51" t="s">
        <v>18</v>
      </c>
      <c r="C10" s="51"/>
      <c r="D10" s="51"/>
      <c r="E10" s="51"/>
      <c r="F10" s="51"/>
      <c r="G10" s="44"/>
      <c r="H10" s="52"/>
      <c r="I10" s="53">
        <v>1</v>
      </c>
      <c r="J10" s="22"/>
      <c r="K10" s="36"/>
    </row>
    <row r="11" spans="1:12" hidden="1" x14ac:dyDescent="0.25">
      <c r="A11" s="47"/>
      <c r="B11" s="51" t="s">
        <v>13</v>
      </c>
      <c r="C11" s="51"/>
      <c r="D11" s="51"/>
      <c r="E11" s="51"/>
      <c r="F11" s="51"/>
      <c r="G11" s="44"/>
      <c r="H11" s="52"/>
      <c r="I11" s="53">
        <v>300</v>
      </c>
      <c r="J11" s="22"/>
      <c r="K11" s="36"/>
    </row>
    <row r="12" spans="1:12" hidden="1" x14ac:dyDescent="0.25">
      <c r="A12" s="47"/>
      <c r="B12" s="51" t="s">
        <v>21</v>
      </c>
      <c r="C12" s="51"/>
      <c r="D12" s="51"/>
      <c r="E12" s="51"/>
      <c r="F12" s="51"/>
      <c r="G12" s="44"/>
      <c r="H12" s="52"/>
      <c r="I12" s="53">
        <v>0</v>
      </c>
      <c r="J12" s="22"/>
      <c r="K12" s="36"/>
    </row>
    <row r="13" spans="1:12" hidden="1" x14ac:dyDescent="0.25">
      <c r="A13" s="47"/>
      <c r="B13" s="51" t="s">
        <v>22</v>
      </c>
      <c r="C13" s="51"/>
      <c r="D13" s="51"/>
      <c r="E13" s="51"/>
      <c r="F13" s="51"/>
      <c r="G13" s="44"/>
      <c r="H13" s="52"/>
      <c r="I13" s="55">
        <v>100</v>
      </c>
      <c r="J13" s="22"/>
      <c r="K13" s="36"/>
    </row>
    <row r="14" spans="1:12" hidden="1" x14ac:dyDescent="0.25">
      <c r="A14" s="47"/>
      <c r="B14" s="51" t="s">
        <v>16</v>
      </c>
      <c r="C14" s="51"/>
      <c r="D14" s="51"/>
      <c r="E14" s="51"/>
      <c r="F14" s="51"/>
      <c r="G14" s="44"/>
      <c r="H14" s="52"/>
      <c r="I14" s="58">
        <v>600</v>
      </c>
      <c r="J14" s="59"/>
      <c r="K14" s="36"/>
    </row>
    <row r="15" spans="1:12" hidden="1" x14ac:dyDescent="0.25">
      <c r="A15" s="47"/>
      <c r="B15" s="51" t="s">
        <v>17</v>
      </c>
      <c r="C15" s="51"/>
      <c r="D15" s="51"/>
      <c r="E15" s="51"/>
      <c r="F15" s="51"/>
      <c r="G15" s="44"/>
      <c r="H15" s="52"/>
      <c r="I15" s="58">
        <v>30</v>
      </c>
      <c r="J15" s="59"/>
      <c r="K15" s="36"/>
    </row>
    <row r="16" spans="1:12" hidden="1" x14ac:dyDescent="0.25">
      <c r="A16" s="47"/>
      <c r="B16" s="22"/>
      <c r="C16" s="22"/>
      <c r="D16" s="22"/>
      <c r="E16" s="22"/>
      <c r="F16" s="22"/>
      <c r="G16" s="48"/>
      <c r="H16" s="49"/>
      <c r="I16" s="49"/>
      <c r="J16" s="22"/>
      <c r="K16" s="36"/>
    </row>
    <row r="17" spans="1:12" hidden="1" x14ac:dyDescent="0.25">
      <c r="A17" s="47"/>
      <c r="B17" s="22"/>
      <c r="C17" s="22"/>
      <c r="D17" s="22"/>
      <c r="E17" s="22"/>
      <c r="F17" s="22"/>
      <c r="G17" s="48"/>
      <c r="H17" s="49"/>
      <c r="I17" s="49"/>
      <c r="J17" s="22"/>
      <c r="K17" s="36"/>
    </row>
    <row r="18" spans="1:12" hidden="1" x14ac:dyDescent="0.25">
      <c r="A18" s="47"/>
      <c r="B18" s="22"/>
      <c r="C18" s="22"/>
      <c r="D18" s="22"/>
      <c r="E18" s="22"/>
      <c r="F18" s="22"/>
      <c r="G18" s="48"/>
      <c r="H18" s="49"/>
      <c r="I18" s="49"/>
      <c r="J18" s="22"/>
      <c r="K18" s="36"/>
    </row>
    <row r="19" spans="1:12" hidden="1" x14ac:dyDescent="0.25">
      <c r="A19" s="47"/>
      <c r="B19" s="22"/>
      <c r="C19" s="22"/>
      <c r="D19" s="22"/>
      <c r="E19" s="22"/>
      <c r="F19" s="22"/>
      <c r="G19" s="48"/>
      <c r="H19" s="49"/>
      <c r="I19" s="49"/>
      <c r="J19" s="22"/>
      <c r="K19" s="36"/>
    </row>
    <row r="20" spans="1:12" ht="42.75" customHeight="1" x14ac:dyDescent="0.25">
      <c r="A20" s="66" t="s">
        <v>45</v>
      </c>
      <c r="B20" s="67"/>
      <c r="C20" s="67"/>
      <c r="D20" s="67"/>
      <c r="E20" s="67"/>
      <c r="F20" s="67"/>
      <c r="G20" s="67"/>
      <c r="H20" s="67"/>
      <c r="I20" s="67"/>
      <c r="J20" s="67"/>
      <c r="K20" s="67"/>
    </row>
    <row r="21" spans="1:12" x14ac:dyDescent="0.25">
      <c r="A21" s="48"/>
      <c r="B21" s="22"/>
      <c r="C21" s="22"/>
      <c r="D21" s="22"/>
      <c r="E21" s="22"/>
      <c r="F21" s="22"/>
      <c r="G21" s="48"/>
      <c r="H21" s="49"/>
      <c r="I21" s="49"/>
      <c r="J21" s="22"/>
      <c r="K21" s="64"/>
    </row>
    <row r="22" spans="1:12" x14ac:dyDescent="0.25">
      <c r="A22" s="72" t="s">
        <v>23</v>
      </c>
      <c r="B22" s="73"/>
      <c r="C22" s="74" t="s">
        <v>24</v>
      </c>
      <c r="D22" s="74"/>
      <c r="E22" s="74"/>
      <c r="F22" s="74"/>
      <c r="G22" s="74"/>
      <c r="H22" s="74"/>
      <c r="I22" s="74"/>
      <c r="J22" s="74"/>
      <c r="K22" s="75"/>
    </row>
    <row r="23" spans="1:12" x14ac:dyDescent="0.25">
      <c r="A23" s="72" t="s">
        <v>31</v>
      </c>
      <c r="B23" s="73"/>
      <c r="C23" s="74" t="s">
        <v>33</v>
      </c>
      <c r="D23" s="74"/>
      <c r="E23" s="74"/>
      <c r="F23" s="74"/>
      <c r="G23" s="74"/>
      <c r="H23" s="74"/>
      <c r="I23" s="74"/>
      <c r="J23" s="74"/>
      <c r="K23" s="75"/>
    </row>
    <row r="24" spans="1:12" ht="15.75" thickBot="1" x14ac:dyDescent="0.3">
      <c r="A24" s="70" t="s">
        <v>32</v>
      </c>
      <c r="B24" s="71"/>
      <c r="C24" s="76" t="s">
        <v>41</v>
      </c>
      <c r="D24" s="76"/>
      <c r="E24" s="76"/>
      <c r="F24" s="76"/>
      <c r="G24" s="76"/>
      <c r="H24" s="76"/>
      <c r="I24" s="76"/>
      <c r="J24" s="76"/>
      <c r="K24" s="77"/>
    </row>
    <row r="25" spans="1:12" ht="9" customHeight="1" thickBot="1" x14ac:dyDescent="0.3">
      <c r="A25" s="1"/>
      <c r="C25" s="21"/>
      <c r="D25" s="4"/>
      <c r="E25" s="4"/>
      <c r="F25" s="4"/>
      <c r="G25" s="4"/>
      <c r="H25" s="8"/>
      <c r="I25" s="6"/>
    </row>
    <row r="26" spans="1:12" ht="30.75" thickBot="1" x14ac:dyDescent="0.3">
      <c r="A26" s="23" t="s">
        <v>30</v>
      </c>
      <c r="B26" s="24" t="s">
        <v>40</v>
      </c>
      <c r="C26" s="24" t="s">
        <v>25</v>
      </c>
      <c r="D26" s="24" t="s">
        <v>26</v>
      </c>
      <c r="E26" s="23" t="s">
        <v>29</v>
      </c>
      <c r="F26" s="24" t="s">
        <v>44</v>
      </c>
      <c r="H26" s="6"/>
      <c r="I26" s="6"/>
      <c r="J26" s="68" t="s">
        <v>38</v>
      </c>
      <c r="K26" s="69"/>
      <c r="L26" s="34"/>
    </row>
    <row r="27" spans="1:12" ht="15.75" thickBot="1" x14ac:dyDescent="0.3">
      <c r="A27" s="3">
        <v>1</v>
      </c>
      <c r="B27" s="60"/>
      <c r="C27" s="65">
        <v>45292.833333333336</v>
      </c>
      <c r="D27" s="65">
        <v>45301.458333333336</v>
      </c>
      <c r="E27" s="60" t="s">
        <v>27</v>
      </c>
      <c r="F27" s="25">
        <f>(D27-C27)*24</f>
        <v>207</v>
      </c>
      <c r="H27" s="10">
        <f t="shared" ref="H27:H46" si="0">IF(E27="S",F27,0)</f>
        <v>207</v>
      </c>
      <c r="I27" s="11">
        <f t="shared" ref="I27:I46" si="1">IF(E27="N",F27,0)</f>
        <v>0</v>
      </c>
    </row>
    <row r="28" spans="1:12" x14ac:dyDescent="0.25">
      <c r="A28" s="3">
        <v>2</v>
      </c>
      <c r="B28" s="60"/>
      <c r="C28" s="65">
        <v>45301.833333333336</v>
      </c>
      <c r="D28" s="65">
        <v>45311.5</v>
      </c>
      <c r="E28" s="60" t="s">
        <v>28</v>
      </c>
      <c r="F28" s="25">
        <f t="shared" ref="F28:F46" si="2">(D28-C28)*24</f>
        <v>231.99999999994179</v>
      </c>
      <c r="H28" s="10">
        <f t="shared" si="0"/>
        <v>0</v>
      </c>
      <c r="I28" s="11">
        <f t="shared" si="1"/>
        <v>231.99999999994179</v>
      </c>
      <c r="J28" s="14" t="s">
        <v>0</v>
      </c>
      <c r="K28" s="15" t="s">
        <v>1</v>
      </c>
    </row>
    <row r="29" spans="1:12" ht="15.75" thickBot="1" x14ac:dyDescent="0.3">
      <c r="A29" s="3">
        <v>3</v>
      </c>
      <c r="B29" s="60"/>
      <c r="C29" s="65">
        <v>45292.833333333336</v>
      </c>
      <c r="D29" s="65">
        <v>45293.208333333336</v>
      </c>
      <c r="E29" s="62" t="s">
        <v>28</v>
      </c>
      <c r="F29" s="25">
        <f t="shared" si="2"/>
        <v>9</v>
      </c>
      <c r="H29" s="10">
        <f t="shared" si="0"/>
        <v>0</v>
      </c>
      <c r="I29" s="11">
        <f t="shared" si="1"/>
        <v>9</v>
      </c>
      <c r="J29" s="27">
        <f>IF(F52=0,999,F51/F52)</f>
        <v>255</v>
      </c>
      <c r="K29" s="26">
        <f>ROUND(IF(J29&lt;240,0.00415*J29,1),2)</f>
        <v>1</v>
      </c>
    </row>
    <row r="30" spans="1:12" ht="15.75" thickBot="1" x14ac:dyDescent="0.3">
      <c r="A30" s="3">
        <v>4</v>
      </c>
      <c r="B30" s="60"/>
      <c r="C30" s="65">
        <v>45299.833333333336</v>
      </c>
      <c r="D30" s="65">
        <v>45299.958333333336</v>
      </c>
      <c r="E30" s="62" t="s">
        <v>27</v>
      </c>
      <c r="F30" s="25">
        <f t="shared" si="2"/>
        <v>3</v>
      </c>
      <c r="H30" s="10">
        <f t="shared" si="0"/>
        <v>3</v>
      </c>
      <c r="I30" s="11">
        <f t="shared" si="1"/>
        <v>0</v>
      </c>
      <c r="J30" s="12"/>
    </row>
    <row r="31" spans="1:12" x14ac:dyDescent="0.25">
      <c r="A31" s="3">
        <v>5</v>
      </c>
      <c r="B31" s="60"/>
      <c r="C31" s="65">
        <v>45316.833333333336</v>
      </c>
      <c r="D31" s="65">
        <v>45318.291666666664</v>
      </c>
      <c r="E31" s="62" t="s">
        <v>28</v>
      </c>
      <c r="F31" s="25">
        <f t="shared" si="2"/>
        <v>34.999999999883585</v>
      </c>
      <c r="H31" s="10">
        <f t="shared" si="0"/>
        <v>0</v>
      </c>
      <c r="I31" s="11">
        <f t="shared" si="1"/>
        <v>34.999999999883585</v>
      </c>
      <c r="J31" s="14" t="s">
        <v>2</v>
      </c>
      <c r="K31" s="15" t="s">
        <v>3</v>
      </c>
    </row>
    <row r="32" spans="1:12" ht="15.75" thickBot="1" x14ac:dyDescent="0.3">
      <c r="A32" s="3">
        <v>6</v>
      </c>
      <c r="B32" s="63"/>
      <c r="C32" s="65"/>
      <c r="D32" s="65"/>
      <c r="E32" s="62"/>
      <c r="F32" s="25">
        <f t="shared" si="2"/>
        <v>0</v>
      </c>
      <c r="H32" s="10">
        <f t="shared" si="0"/>
        <v>0</v>
      </c>
      <c r="I32" s="11">
        <f t="shared" si="1"/>
        <v>0</v>
      </c>
      <c r="J32" s="27">
        <f>IF(J29=999,0,F53/F52)</f>
        <v>105</v>
      </c>
      <c r="K32" s="26">
        <f>ROUND(IF(J32&lt;=4,1,(-0.001385*J32)+1.01),2)</f>
        <v>0.86</v>
      </c>
    </row>
    <row r="33" spans="1:11" ht="15.75" thickBot="1" x14ac:dyDescent="0.3">
      <c r="A33" s="3">
        <v>7</v>
      </c>
      <c r="B33" s="63"/>
      <c r="C33" s="61"/>
      <c r="D33" s="61"/>
      <c r="E33" s="62"/>
      <c r="F33" s="25">
        <f t="shared" si="2"/>
        <v>0</v>
      </c>
      <c r="H33" s="10">
        <f t="shared" si="0"/>
        <v>0</v>
      </c>
      <c r="I33" s="11">
        <f t="shared" si="1"/>
        <v>0</v>
      </c>
      <c r="J33" s="12"/>
    </row>
    <row r="34" spans="1:11" x14ac:dyDescent="0.25">
      <c r="A34" s="3">
        <v>8</v>
      </c>
      <c r="B34" s="63"/>
      <c r="C34" s="61"/>
      <c r="D34" s="61"/>
      <c r="E34" s="62"/>
      <c r="F34" s="25">
        <f t="shared" si="2"/>
        <v>0</v>
      </c>
      <c r="H34" s="10">
        <f t="shared" si="0"/>
        <v>0</v>
      </c>
      <c r="I34" s="11">
        <f t="shared" si="1"/>
        <v>0</v>
      </c>
      <c r="J34" s="14" t="s">
        <v>4</v>
      </c>
      <c r="K34" s="15" t="s">
        <v>5</v>
      </c>
    </row>
    <row r="35" spans="1:11" ht="15.75" thickBot="1" x14ac:dyDescent="0.3">
      <c r="A35" s="3">
        <v>9</v>
      </c>
      <c r="B35" s="63"/>
      <c r="C35" s="61"/>
      <c r="D35" s="61"/>
      <c r="E35" s="62"/>
      <c r="F35" s="25">
        <f t="shared" si="2"/>
        <v>0</v>
      </c>
      <c r="H35" s="10">
        <f t="shared" si="0"/>
        <v>0</v>
      </c>
      <c r="I35" s="11">
        <f t="shared" si="1"/>
        <v>0</v>
      </c>
      <c r="J35" s="27">
        <f>(J29/(J29+J32))*100</f>
        <v>70.833333333333343</v>
      </c>
      <c r="K35" s="26">
        <f>ROUND(IF(J35&lt;98,0.0101*J35,1),2)</f>
        <v>0.72</v>
      </c>
    </row>
    <row r="36" spans="1:11" ht="15.75" thickBot="1" x14ac:dyDescent="0.3">
      <c r="A36" s="3">
        <v>10</v>
      </c>
      <c r="B36" s="63"/>
      <c r="C36" s="61"/>
      <c r="D36" s="61"/>
      <c r="E36" s="62"/>
      <c r="F36" s="25">
        <f t="shared" si="2"/>
        <v>0</v>
      </c>
      <c r="H36" s="10">
        <f t="shared" si="0"/>
        <v>0</v>
      </c>
      <c r="I36" s="11">
        <f t="shared" si="1"/>
        <v>0</v>
      </c>
      <c r="J36" s="12"/>
    </row>
    <row r="37" spans="1:11" x14ac:dyDescent="0.25">
      <c r="A37" s="3">
        <v>11</v>
      </c>
      <c r="B37" s="63"/>
      <c r="C37" s="61"/>
      <c r="D37" s="61"/>
      <c r="E37" s="62"/>
      <c r="F37" s="25">
        <f t="shared" si="2"/>
        <v>0</v>
      </c>
      <c r="H37" s="10">
        <f t="shared" si="0"/>
        <v>0</v>
      </c>
      <c r="I37" s="11">
        <f t="shared" si="1"/>
        <v>0</v>
      </c>
      <c r="J37" s="14" t="s">
        <v>6</v>
      </c>
      <c r="K37" s="15" t="s">
        <v>7</v>
      </c>
    </row>
    <row r="38" spans="1:11" ht="15.75" thickBot="1" x14ac:dyDescent="0.3">
      <c r="A38" s="3">
        <v>12</v>
      </c>
      <c r="B38" s="63"/>
      <c r="C38" s="61"/>
      <c r="D38" s="61"/>
      <c r="E38" s="62"/>
      <c r="F38" s="25">
        <f t="shared" si="2"/>
        <v>0</v>
      </c>
      <c r="H38" s="10">
        <f t="shared" si="0"/>
        <v>0</v>
      </c>
      <c r="I38" s="11">
        <f t="shared" si="1"/>
        <v>0</v>
      </c>
      <c r="J38" s="28">
        <f>F54/F55*100</f>
        <v>100</v>
      </c>
      <c r="K38" s="29">
        <f>ROUND(IF(J38&lt;95,0.00211*J38+0.8,1),2)</f>
        <v>1</v>
      </c>
    </row>
    <row r="39" spans="1:11" ht="15.75" thickBot="1" x14ac:dyDescent="0.3">
      <c r="A39" s="3">
        <v>13</v>
      </c>
      <c r="B39" s="63"/>
      <c r="C39" s="61"/>
      <c r="D39" s="61"/>
      <c r="E39" s="62"/>
      <c r="F39" s="25">
        <f t="shared" si="2"/>
        <v>0</v>
      </c>
      <c r="H39" s="10">
        <f t="shared" si="0"/>
        <v>0</v>
      </c>
      <c r="I39" s="11">
        <f t="shared" si="1"/>
        <v>0</v>
      </c>
      <c r="J39" s="12"/>
    </row>
    <row r="40" spans="1:11" x14ac:dyDescent="0.25">
      <c r="A40" s="3">
        <v>14</v>
      </c>
      <c r="B40" s="63"/>
      <c r="C40" s="61"/>
      <c r="D40" s="61"/>
      <c r="E40" s="62"/>
      <c r="F40" s="25">
        <f t="shared" si="2"/>
        <v>0</v>
      </c>
      <c r="H40" s="10">
        <f t="shared" si="0"/>
        <v>0</v>
      </c>
      <c r="I40" s="11">
        <f t="shared" si="1"/>
        <v>0</v>
      </c>
      <c r="J40" s="14" t="s">
        <v>8</v>
      </c>
      <c r="K40" s="15" t="s">
        <v>11</v>
      </c>
    </row>
    <row r="41" spans="1:11" ht="15.75" thickBot="1" x14ac:dyDescent="0.3">
      <c r="A41" s="3">
        <v>15</v>
      </c>
      <c r="B41" s="63"/>
      <c r="C41" s="61"/>
      <c r="D41" s="61"/>
      <c r="E41" s="62"/>
      <c r="F41" s="25">
        <f t="shared" si="2"/>
        <v>0</v>
      </c>
      <c r="H41" s="10">
        <f t="shared" si="0"/>
        <v>0</v>
      </c>
      <c r="I41" s="11">
        <f t="shared" si="1"/>
        <v>0</v>
      </c>
      <c r="J41" s="28">
        <f>F56</f>
        <v>231.99999999994179</v>
      </c>
      <c r="K41" s="29">
        <f>ROUND(IF(J41&lt;=480,1,(-0.001*J41)+1.48),2)</f>
        <v>1</v>
      </c>
    </row>
    <row r="42" spans="1:11" ht="15.75" thickBot="1" x14ac:dyDescent="0.3">
      <c r="A42" s="3">
        <v>16</v>
      </c>
      <c r="B42" s="63"/>
      <c r="C42" s="61"/>
      <c r="D42" s="61"/>
      <c r="E42" s="62"/>
      <c r="F42" s="25">
        <f t="shared" si="2"/>
        <v>0</v>
      </c>
      <c r="H42" s="10">
        <f t="shared" si="0"/>
        <v>0</v>
      </c>
      <c r="I42" s="11">
        <f t="shared" si="1"/>
        <v>0</v>
      </c>
      <c r="J42" s="12"/>
    </row>
    <row r="43" spans="1:11" x14ac:dyDescent="0.25">
      <c r="A43" s="3">
        <v>17</v>
      </c>
      <c r="B43" s="63"/>
      <c r="C43" s="61"/>
      <c r="D43" s="61"/>
      <c r="E43" s="62"/>
      <c r="F43" s="25">
        <f t="shared" si="2"/>
        <v>0</v>
      </c>
      <c r="H43" s="10">
        <f t="shared" si="0"/>
        <v>0</v>
      </c>
      <c r="I43" s="11">
        <f t="shared" si="1"/>
        <v>0</v>
      </c>
      <c r="J43" s="14" t="s">
        <v>9</v>
      </c>
      <c r="K43" s="15" t="s">
        <v>10</v>
      </c>
    </row>
    <row r="44" spans="1:11" ht="15.75" thickBot="1" x14ac:dyDescent="0.3">
      <c r="A44" s="3">
        <v>18</v>
      </c>
      <c r="B44" s="63"/>
      <c r="C44" s="61"/>
      <c r="D44" s="61"/>
      <c r="E44" s="62"/>
      <c r="F44" s="25">
        <f t="shared" si="2"/>
        <v>0</v>
      </c>
      <c r="H44" s="10">
        <f t="shared" si="0"/>
        <v>0</v>
      </c>
      <c r="I44" s="11">
        <f t="shared" si="1"/>
        <v>0</v>
      </c>
      <c r="J44" s="27">
        <f>F57</f>
        <v>207</v>
      </c>
      <c r="K44" s="26">
        <f>ROUND(IF(J44&lt;=24,1,(-0.00029*J44)+1.01),2)</f>
        <v>0.95</v>
      </c>
    </row>
    <row r="45" spans="1:11" ht="15.75" thickBot="1" x14ac:dyDescent="0.3">
      <c r="A45" s="3">
        <v>19</v>
      </c>
      <c r="B45" s="63"/>
      <c r="C45" s="61"/>
      <c r="D45" s="61"/>
      <c r="E45" s="62"/>
      <c r="F45" s="25">
        <f t="shared" si="2"/>
        <v>0</v>
      </c>
      <c r="H45" s="10">
        <f t="shared" si="0"/>
        <v>0</v>
      </c>
      <c r="I45" s="11">
        <f t="shared" si="1"/>
        <v>0</v>
      </c>
      <c r="J45" s="12"/>
    </row>
    <row r="46" spans="1:11" ht="15.75" thickBot="1" x14ac:dyDescent="0.3">
      <c r="A46" s="3">
        <v>20</v>
      </c>
      <c r="B46" s="63"/>
      <c r="C46" s="61"/>
      <c r="D46" s="61"/>
      <c r="E46" s="62"/>
      <c r="F46" s="25">
        <f t="shared" si="2"/>
        <v>0</v>
      </c>
      <c r="H46" s="10">
        <f t="shared" si="0"/>
        <v>0</v>
      </c>
      <c r="I46" s="11">
        <f t="shared" si="1"/>
        <v>0</v>
      </c>
      <c r="J46" s="19" t="s">
        <v>12</v>
      </c>
      <c r="K46" s="20">
        <f>ROUND(K29*K32*K35*K38*K41*K44,2)</f>
        <v>0.59</v>
      </c>
    </row>
    <row r="47" spans="1:11" x14ac:dyDescent="0.25">
      <c r="H47" s="9">
        <f>SUM(H27:H46)</f>
        <v>210</v>
      </c>
      <c r="I47" s="7">
        <f>SUM(I27:I46)</f>
        <v>275.99999999982538</v>
      </c>
    </row>
    <row r="48" spans="1:11" x14ac:dyDescent="0.25">
      <c r="A48" s="16" t="s">
        <v>15</v>
      </c>
      <c r="B48" s="17"/>
      <c r="C48" s="17"/>
      <c r="D48" s="17"/>
      <c r="E48" s="17"/>
      <c r="F48" s="30">
        <v>24</v>
      </c>
    </row>
    <row r="49" spans="1:6" x14ac:dyDescent="0.25">
      <c r="A49" s="16" t="s">
        <v>39</v>
      </c>
      <c r="B49" s="17"/>
      <c r="C49" s="17"/>
      <c r="D49" s="17"/>
      <c r="E49" s="17"/>
      <c r="F49" s="30">
        <v>30</v>
      </c>
    </row>
    <row r="50" spans="1:6" x14ac:dyDescent="0.25">
      <c r="A50" s="16" t="s">
        <v>43</v>
      </c>
      <c r="B50" s="17"/>
      <c r="C50" s="17"/>
      <c r="D50" s="17"/>
      <c r="E50" s="17"/>
      <c r="F50" s="31">
        <f>F49*F48</f>
        <v>720</v>
      </c>
    </row>
    <row r="51" spans="1:6" x14ac:dyDescent="0.25">
      <c r="A51" s="18" t="s">
        <v>19</v>
      </c>
      <c r="B51" s="17"/>
      <c r="C51" s="17"/>
      <c r="D51" s="17"/>
      <c r="E51" s="17"/>
      <c r="F51" s="31">
        <f>F50-F53</f>
        <v>510</v>
      </c>
    </row>
    <row r="52" spans="1:6" x14ac:dyDescent="0.25">
      <c r="A52" s="16" t="s">
        <v>42</v>
      </c>
      <c r="B52" s="17"/>
      <c r="C52" s="17"/>
      <c r="D52" s="17"/>
      <c r="E52" s="17"/>
      <c r="F52" s="30">
        <f>COUNTIF(E27:E46,"S")</f>
        <v>2</v>
      </c>
    </row>
    <row r="53" spans="1:6" x14ac:dyDescent="0.25">
      <c r="A53" s="16" t="s">
        <v>13</v>
      </c>
      <c r="B53" s="17"/>
      <c r="C53" s="17"/>
      <c r="D53" s="17"/>
      <c r="E53" s="17"/>
      <c r="F53" s="32">
        <f>H47</f>
        <v>210</v>
      </c>
    </row>
    <row r="54" spans="1:6" x14ac:dyDescent="0.25">
      <c r="A54" s="16" t="s">
        <v>34</v>
      </c>
      <c r="B54" s="17"/>
      <c r="C54" s="17"/>
      <c r="D54" s="17"/>
      <c r="E54" s="17"/>
      <c r="F54" s="13">
        <v>50</v>
      </c>
    </row>
    <row r="55" spans="1:6" x14ac:dyDescent="0.25">
      <c r="A55" s="16" t="s">
        <v>35</v>
      </c>
      <c r="B55" s="17"/>
      <c r="C55" s="17"/>
      <c r="D55" s="17"/>
      <c r="E55" s="17"/>
      <c r="F55" s="30">
        <v>50</v>
      </c>
    </row>
    <row r="56" spans="1:6" x14ac:dyDescent="0.25">
      <c r="A56" s="16" t="s">
        <v>37</v>
      </c>
      <c r="B56" s="17"/>
      <c r="C56" s="17"/>
      <c r="D56" s="17"/>
      <c r="E56" s="17"/>
      <c r="F56" s="33">
        <f>MAX(I27:I46)</f>
        <v>231.99999999994179</v>
      </c>
    </row>
    <row r="57" spans="1:6" x14ac:dyDescent="0.25">
      <c r="A57" s="16" t="s">
        <v>36</v>
      </c>
      <c r="B57" s="17"/>
      <c r="C57" s="17"/>
      <c r="D57" s="17"/>
      <c r="E57" s="17"/>
      <c r="F57" s="33">
        <f>MAX(H27:H46)</f>
        <v>207</v>
      </c>
    </row>
  </sheetData>
  <mergeCells count="8">
    <mergeCell ref="A20:K20"/>
    <mergeCell ref="J26:K26"/>
    <mergeCell ref="A24:B24"/>
    <mergeCell ref="A23:B23"/>
    <mergeCell ref="A22:B22"/>
    <mergeCell ref="C22:K22"/>
    <mergeCell ref="C23:K23"/>
    <mergeCell ref="C24:K24"/>
  </mergeCells>
  <printOptions horizontalCentered="1"/>
  <pageMargins left="0.98425196850393704" right="0.59055118110236227" top="1.1811023622047245" bottom="0.78740157480314965" header="0.39370078740157483" footer="0.39370078740157483"/>
  <pageSetup paperSize="9" orientation="portrait" r:id="rId1"/>
  <headerFooter>
    <oddHeader>&amp;R&amp;G</oddHeader>
    <oddFooter>&amp;C&amp;"-,Negrito itálico"BHTRANS/FMU&amp;"-,Regular" - PE nº 18/2024 - Apêndice IX - Modelo de Apuração de Fator de Desempenho - Pág. &amp;P / &amp;N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Apêndice IX</vt:lpstr>
    </vt:vector>
  </TitlesOfParts>
  <Company>EMPRESA INFORMATICA INFORMACAO MUN BH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BRUNO MADURO LEME DE SOUSA BT001262</dc:creator>
  <cp:lastModifiedBy>LEONARDO HIDEKI OKANO BT001461</cp:lastModifiedBy>
  <cp:lastPrinted>2024-07-25T19:55:19Z</cp:lastPrinted>
  <dcterms:created xsi:type="dcterms:W3CDTF">2024-01-16T17:21:33Z</dcterms:created>
  <dcterms:modified xsi:type="dcterms:W3CDTF">2024-07-25T19:55:24Z</dcterms:modified>
</cp:coreProperties>
</file>