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alladolid\backups\GECON\BALANCETES DATASUL\BALANCETES - PARA PUBLICAR NO SITE\"/>
    </mc:Choice>
  </mc:AlternateContent>
  <xr:revisionPtr revIDLastSave="0" documentId="13_ncr:1_{FB3B3794-142B-4D6A-A2F6-2DDFC73BBD42}" xr6:coauthVersionLast="36" xr6:coauthVersionMax="36" xr10:uidLastSave="{00000000-0000-0000-0000-000000000000}"/>
  <bookViews>
    <workbookView xWindow="0" yWindow="0" windowWidth="28800" windowHeight="13770" activeTab="5" xr2:uid="{00000000-000D-0000-FFFF-FFFF00000000}"/>
  </bookViews>
  <sheets>
    <sheet name="01-2026" sheetId="1" r:id="rId1"/>
    <sheet name="02-2026" sheetId="2" r:id="rId2"/>
    <sheet name="03-2026" sheetId="3" r:id="rId3"/>
    <sheet name="04-2026" sheetId="4" r:id="rId4"/>
    <sheet name="05-2026" sheetId="5" r:id="rId5"/>
    <sheet name="06-2026" sheetId="6" r:id="rId6"/>
  </sheets>
  <calcPr calcId="191029"/>
</workbook>
</file>

<file path=xl/calcChain.xml><?xml version="1.0" encoding="utf-8"?>
<calcChain xmlns="http://schemas.openxmlformats.org/spreadsheetml/2006/main">
  <c r="A233" i="6" l="1"/>
  <c r="A232" i="6"/>
  <c r="A231" i="6"/>
  <c r="A230" i="6"/>
  <c r="A229" i="6"/>
  <c r="D228" i="6"/>
  <c r="C228" i="6"/>
  <c r="B228" i="6"/>
  <c r="A228" i="6"/>
  <c r="D227" i="6"/>
  <c r="C227" i="6"/>
  <c r="B227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D212" i="6"/>
  <c r="C212" i="6"/>
  <c r="B212" i="6"/>
  <c r="A212" i="6"/>
  <c r="D211" i="6"/>
  <c r="C211" i="6"/>
  <c r="B211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D135" i="6"/>
  <c r="C135" i="6"/>
  <c r="B135" i="6"/>
  <c r="A135" i="6"/>
  <c r="D134" i="6"/>
  <c r="C134" i="6"/>
  <c r="B134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D75" i="6"/>
  <c r="C75" i="6"/>
  <c r="B75" i="6"/>
  <c r="A75" i="6"/>
  <c r="D74" i="6"/>
  <c r="C74" i="6"/>
  <c r="B74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D3" i="6"/>
  <c r="C3" i="6"/>
  <c r="B3" i="6"/>
  <c r="A3" i="6"/>
  <c r="A234" i="5"/>
  <c r="A233" i="5"/>
  <c r="A232" i="5"/>
  <c r="A231" i="5"/>
  <c r="A230" i="5"/>
  <c r="D229" i="5"/>
  <c r="C229" i="5"/>
  <c r="B229" i="5"/>
  <c r="A229" i="5"/>
  <c r="D228" i="5"/>
  <c r="C228" i="5"/>
  <c r="B228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D213" i="5"/>
  <c r="C213" i="5"/>
  <c r="B213" i="5"/>
  <c r="A213" i="5"/>
  <c r="D212" i="5"/>
  <c r="C212" i="5"/>
  <c r="B212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D137" i="5"/>
  <c r="C137" i="5"/>
  <c r="B137" i="5"/>
  <c r="A137" i="5"/>
  <c r="D136" i="5"/>
  <c r="C136" i="5"/>
  <c r="B136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D77" i="5"/>
  <c r="C77" i="5"/>
  <c r="B77" i="5"/>
  <c r="A77" i="5"/>
  <c r="D76" i="5"/>
  <c r="C76" i="5"/>
  <c r="B76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D3" i="5"/>
  <c r="C3" i="5"/>
  <c r="B3" i="5"/>
  <c r="A3" i="5"/>
  <c r="A231" i="4" l="1"/>
  <c r="A230" i="4"/>
  <c r="A229" i="4"/>
  <c r="A228" i="4"/>
  <c r="A227" i="4"/>
  <c r="D226" i="4"/>
  <c r="C226" i="4"/>
  <c r="B226" i="4"/>
  <c r="A226" i="4"/>
  <c r="D225" i="4"/>
  <c r="C225" i="4"/>
  <c r="B225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D210" i="4"/>
  <c r="C210" i="4"/>
  <c r="B210" i="4"/>
  <c r="A210" i="4"/>
  <c r="D209" i="4"/>
  <c r="C209" i="4"/>
  <c r="B209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D137" i="4"/>
  <c r="C137" i="4"/>
  <c r="B137" i="4"/>
  <c r="A137" i="4"/>
  <c r="D136" i="4"/>
  <c r="C136" i="4"/>
  <c r="B136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D77" i="4"/>
  <c r="C77" i="4"/>
  <c r="B77" i="4"/>
  <c r="A77" i="4"/>
  <c r="D76" i="4"/>
  <c r="C76" i="4"/>
  <c r="B76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D3" i="4"/>
  <c r="C3" i="4"/>
  <c r="B3" i="4"/>
  <c r="A3" i="4"/>
  <c r="A226" i="3" l="1"/>
  <c r="A225" i="3"/>
  <c r="A224" i="3"/>
  <c r="A223" i="3"/>
  <c r="A222" i="3"/>
  <c r="D221" i="3"/>
  <c r="C221" i="3"/>
  <c r="B221" i="3"/>
  <c r="A221" i="3"/>
  <c r="D220" i="3"/>
  <c r="C220" i="3"/>
  <c r="B220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D205" i="3"/>
  <c r="C205" i="3"/>
  <c r="B205" i="3"/>
  <c r="A205" i="3"/>
  <c r="D204" i="3"/>
  <c r="C204" i="3"/>
  <c r="B204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D135" i="3"/>
  <c r="C135" i="3"/>
  <c r="B135" i="3"/>
  <c r="A135" i="3"/>
  <c r="D134" i="3"/>
  <c r="C134" i="3"/>
  <c r="B134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D75" i="3"/>
  <c r="C75" i="3"/>
  <c r="B75" i="3"/>
  <c r="A75" i="3"/>
  <c r="D74" i="3"/>
  <c r="C74" i="3"/>
  <c r="B74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D3" i="3"/>
  <c r="C3" i="3"/>
  <c r="B3" i="3"/>
  <c r="A3" i="3"/>
  <c r="A222" i="2" l="1"/>
  <c r="A221" i="2"/>
  <c r="A220" i="2"/>
  <c r="A219" i="2"/>
  <c r="A218" i="2"/>
  <c r="D217" i="2"/>
  <c r="C217" i="2"/>
  <c r="B217" i="2"/>
  <c r="A217" i="2"/>
  <c r="D216" i="2"/>
  <c r="C216" i="2"/>
  <c r="B216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D201" i="2"/>
  <c r="C201" i="2"/>
  <c r="B201" i="2"/>
  <c r="A201" i="2"/>
  <c r="D200" i="2"/>
  <c r="C200" i="2"/>
  <c r="B200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D136" i="2"/>
  <c r="C136" i="2"/>
  <c r="B136" i="2"/>
  <c r="A136" i="2"/>
  <c r="D135" i="2"/>
  <c r="C135" i="2"/>
  <c r="B135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D76" i="2"/>
  <c r="C76" i="2"/>
  <c r="B76" i="2"/>
  <c r="A76" i="2"/>
  <c r="D75" i="2"/>
  <c r="C75" i="2"/>
  <c r="B75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D3" i="2"/>
  <c r="C3" i="2"/>
  <c r="B3" i="2"/>
  <c r="A3" i="2"/>
  <c r="A221" i="1" l="1"/>
  <c r="A220" i="1"/>
  <c r="A219" i="1"/>
  <c r="A218" i="1"/>
  <c r="A217" i="1"/>
  <c r="D216" i="1"/>
  <c r="C216" i="1"/>
  <c r="B216" i="1"/>
  <c r="A216" i="1"/>
  <c r="D215" i="1"/>
  <c r="C215" i="1"/>
  <c r="B215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D201" i="1"/>
  <c r="C201" i="1"/>
  <c r="B201" i="1"/>
  <c r="A201" i="1"/>
  <c r="D200" i="1"/>
  <c r="C200" i="1"/>
  <c r="B200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D139" i="1"/>
  <c r="C139" i="1"/>
  <c r="B139" i="1"/>
  <c r="A139" i="1"/>
  <c r="D138" i="1"/>
  <c r="C138" i="1"/>
  <c r="B138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D79" i="1"/>
  <c r="C79" i="1"/>
  <c r="B79" i="1"/>
  <c r="A79" i="1"/>
  <c r="D78" i="1"/>
  <c r="C78" i="1"/>
  <c r="B78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D3" i="1"/>
  <c r="C3" i="1"/>
  <c r="B3" i="1"/>
  <c r="A3" i="1"/>
</calcChain>
</file>

<file path=xl/sharedStrings.xml><?xml version="1.0" encoding="utf-8"?>
<sst xmlns="http://schemas.openxmlformats.org/spreadsheetml/2006/main" count="36" uniqueCount="11">
  <si>
    <t>Descricao!</t>
  </si>
  <si>
    <t>Saldo Inicial!R$</t>
  </si>
  <si>
    <t>Movimento!R$</t>
  </si>
  <si>
    <t>Saldo Final!R$</t>
  </si>
  <si>
    <t xml:space="preserve"> </t>
  </si>
  <si>
    <t>Balancete Analitico                                                        Período de Referência: 01/2026</t>
  </si>
  <si>
    <t>Balancete Analitico                                                        Período de Referência: 02/2026</t>
  </si>
  <si>
    <t>Balancete Analitico                                                        Período de Referência: 03/2026</t>
  </si>
  <si>
    <t>Balancete Analitico                                                        Período de Referência: 04/2026</t>
  </si>
  <si>
    <t>Balancete Analitico                                                        Período de Referência: 05/2026</t>
  </si>
  <si>
    <t>Balancete Analitico                                                        Período de Referência: 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</si>
</sst>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33" borderId="0" xfId="0" applyFont="1" applyFill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16" fillId="34" borderId="10" xfId="0" applyFont="1" applyFill="1" applyBorder="1"/>
    <xf numFmtId="0" fontId="16" fillId="34" borderId="17" xfId="0" applyFont="1" applyFill="1" applyBorder="1"/>
    <xf numFmtId="164" fontId="0" fillId="0" borderId="12" xfId="0" applyNumberFormat="1" applyBorder="1"/>
    <xf numFmtId="164" fontId="0" fillId="0" borderId="14" xfId="0" applyNumberForma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2"/>
  <sheetViews>
    <sheetView workbookViewId="0">
      <selection activeCell="A215" sqref="A215:XFD237"/>
    </sheetView>
  </sheetViews>
  <sheetFormatPr defaultRowHeight="15" x14ac:dyDescent="0.25"/>
  <cols>
    <col min="1" max="1" width="71.5703125" bestFit="1" customWidth="1"/>
    <col min="2" max="2" width="14.5703125" bestFit="1" customWidth="1"/>
    <col min="3" max="3" width="14.28515625" bestFit="1" customWidth="1"/>
    <col min="4" max="4" width="14.5703125" bestFit="1" customWidth="1"/>
  </cols>
  <sheetData>
    <row r="1" spans="1:4" ht="19.5" thickBot="1" x14ac:dyDescent="0.35">
      <c r="A1" s="1" t="s">
        <v>5</v>
      </c>
      <c r="B1" s="1"/>
      <c r="C1" s="1"/>
      <c r="D1" s="1"/>
    </row>
    <row r="2" spans="1:4" ht="15.75" thickBot="1" x14ac:dyDescent="0.3">
      <c r="A2" s="7" t="s">
        <v>0</v>
      </c>
      <c r="B2" s="8" t="s">
        <v>1</v>
      </c>
      <c r="C2" s="8" t="s">
        <v>2</v>
      </c>
      <c r="D2" s="8" t="s">
        <v>3</v>
      </c>
    </row>
    <row r="3" spans="1:4" x14ac:dyDescent="0.25">
      <c r="A3" s="5" t="str">
        <f>"ATIVO"</f>
        <v>ATIVO</v>
      </c>
      <c r="B3" s="6" t="str">
        <f>""</f>
        <v/>
      </c>
      <c r="C3" s="6" t="str">
        <f>""</f>
        <v/>
      </c>
      <c r="D3" s="6" t="str">
        <f>""</f>
        <v/>
      </c>
    </row>
    <row r="4" spans="1:4" x14ac:dyDescent="0.25">
      <c r="A4" s="2" t="str">
        <f>"1.0.0.00.00- ATIVO"</f>
        <v>1.0.0.00.00- ATIVO</v>
      </c>
      <c r="B4" s="9">
        <v>62739392.909999996</v>
      </c>
      <c r="C4" s="9">
        <v>-3761323.5</v>
      </c>
      <c r="D4" s="9">
        <v>58978069.409999996</v>
      </c>
    </row>
    <row r="5" spans="1:4" x14ac:dyDescent="0.25">
      <c r="A5" s="2" t="str">
        <f>"1.1.0.00.00- ATIVO CIRCULANTE"</f>
        <v>1.1.0.00.00- ATIVO CIRCULANTE</v>
      </c>
      <c r="B5" s="9">
        <v>29192031.609999999</v>
      </c>
      <c r="C5" s="9">
        <v>-3716942.01</v>
      </c>
      <c r="D5" s="9">
        <v>25475089.600000001</v>
      </c>
    </row>
    <row r="6" spans="1:4" x14ac:dyDescent="0.25">
      <c r="A6" s="2" t="str">
        <f>"1.1.1.00.00- DISPONIVEL"</f>
        <v>1.1.1.00.00- DISPONIVEL</v>
      </c>
      <c r="B6" s="9">
        <v>20128954.239999998</v>
      </c>
      <c r="C6" s="9">
        <v>-2181808.41</v>
      </c>
      <c r="D6" s="9">
        <v>17947145.829999998</v>
      </c>
    </row>
    <row r="7" spans="1:4" x14ac:dyDescent="0.25">
      <c r="A7" s="2" t="str">
        <f>"1.1.1.02.00- BANCOS C/MOVIMENTO"</f>
        <v>1.1.1.02.00- BANCOS C/MOVIMENTO</v>
      </c>
      <c r="B7" s="9">
        <v>229.07</v>
      </c>
      <c r="C7" s="9">
        <v>-229.07</v>
      </c>
      <c r="D7" s="9">
        <v>0</v>
      </c>
    </row>
    <row r="8" spans="1:4" x14ac:dyDescent="0.25">
      <c r="A8" s="2" t="str">
        <f>"1.1.1.02.31- Caixa Econômica Federal - 94511-6 - ROT"</f>
        <v>1.1.1.02.31- Caixa Econômica Federal - 94511-6 - ROT</v>
      </c>
      <c r="B8" s="9">
        <v>229.07</v>
      </c>
      <c r="C8" s="9">
        <v>-229.07</v>
      </c>
      <c r="D8" s="9">
        <v>0</v>
      </c>
    </row>
    <row r="9" spans="1:4" x14ac:dyDescent="0.25">
      <c r="A9" s="2" t="str">
        <f>"1.1.1.03.00- APLICACOES FINANCEIRAS"</f>
        <v>1.1.1.03.00- APLICACOES FINANCEIRAS</v>
      </c>
      <c r="B9" s="9">
        <v>18452801.25</v>
      </c>
      <c r="C9" s="9">
        <v>-2200456.69</v>
      </c>
      <c r="D9" s="9">
        <v>16252344.560000001</v>
      </c>
    </row>
    <row r="10" spans="1:4" x14ac:dyDescent="0.25">
      <c r="A10" s="2" t="str">
        <f>"1.1.1.03.22- Caixa Econômica Federal - 94505-1"</f>
        <v>1.1.1.03.22- Caixa Econômica Federal - 94505-1</v>
      </c>
      <c r="B10" s="9">
        <v>807567.23</v>
      </c>
      <c r="C10" s="9">
        <v>1079230.83</v>
      </c>
      <c r="D10" s="9">
        <v>1886798.06</v>
      </c>
    </row>
    <row r="11" spans="1:4" x14ac:dyDescent="0.25">
      <c r="A11" s="2" t="str">
        <f>"1.1.1.03.23- Caixa Econômica Federal - 94506-0"</f>
        <v>1.1.1.03.23- Caixa Econômica Federal - 94506-0</v>
      </c>
      <c r="B11" s="9">
        <v>17473555.239999998</v>
      </c>
      <c r="C11" s="9">
        <v>-3126256.09</v>
      </c>
      <c r="D11" s="9">
        <v>14347299.15</v>
      </c>
    </row>
    <row r="12" spans="1:4" x14ac:dyDescent="0.25">
      <c r="A12" s="2" t="str">
        <f>"1.1.1.03.32- Caixa Econômica Federal - 94513-2 Mídia"</f>
        <v>1.1.1.03.32- Caixa Econômica Federal - 94513-2 Mídia</v>
      </c>
      <c r="B12" s="9">
        <v>142487.44</v>
      </c>
      <c r="C12" s="9">
        <v>-142487.44</v>
      </c>
      <c r="D12" s="9">
        <v>0</v>
      </c>
    </row>
    <row r="13" spans="1:4" x14ac:dyDescent="0.25">
      <c r="A13" s="2" t="str">
        <f>"1.1.1.03.36- Caixa Econômica Federal - 94528-0 Sucumb"</f>
        <v>1.1.1.03.36- Caixa Econômica Federal - 94528-0 Sucumb</v>
      </c>
      <c r="B13" s="9">
        <v>16047.66</v>
      </c>
      <c r="C13" s="9">
        <v>-11141.1</v>
      </c>
      <c r="D13" s="9">
        <v>4906.5600000000004</v>
      </c>
    </row>
    <row r="14" spans="1:4" x14ac:dyDescent="0.25">
      <c r="A14" s="2" t="str">
        <f>"1.1.1.03.49- Caixa Econômica Federal - 744797076-0"</f>
        <v>1.1.1.03.49- Caixa Econômica Federal - 744797076-0</v>
      </c>
      <c r="B14" s="9">
        <v>13143.68</v>
      </c>
      <c r="C14" s="9">
        <v>197.11</v>
      </c>
      <c r="D14" s="9">
        <v>13340.79</v>
      </c>
    </row>
    <row r="15" spans="1:4" x14ac:dyDescent="0.25">
      <c r="A15" s="2" t="str">
        <f>"1.1.1.04.00- BANCOS C/VINCULADA"</f>
        <v>1.1.1.04.00- BANCOS C/VINCULADA</v>
      </c>
      <c r="B15" s="9">
        <v>1675923.92</v>
      </c>
      <c r="C15" s="9">
        <v>18877.349999999999</v>
      </c>
      <c r="D15" s="9">
        <v>1694801.27</v>
      </c>
    </row>
    <row r="16" spans="1:4" x14ac:dyDescent="0.25">
      <c r="A16" s="2" t="str">
        <f>"1.1.1.04.10- Caixa Econômica Federal - 94521-3 Caução"</f>
        <v>1.1.1.04.10- Caixa Econômica Federal - 94521-3 Caução</v>
      </c>
      <c r="B16" s="9">
        <v>118289.57</v>
      </c>
      <c r="C16" s="9">
        <v>1318.38</v>
      </c>
      <c r="D16" s="9">
        <v>119607.95</v>
      </c>
    </row>
    <row r="17" spans="1:4" x14ac:dyDescent="0.25">
      <c r="A17" s="2" t="str">
        <f>"1.1.1.04.12- Caixa Econômica Federal - 94627-9 Leilão"</f>
        <v>1.1.1.04.12- Caixa Econômica Federal - 94627-9 Leilão</v>
      </c>
      <c r="B17" s="9">
        <v>1557634.35</v>
      </c>
      <c r="C17" s="9">
        <v>17558.97</v>
      </c>
      <c r="D17" s="9">
        <v>1575193.32</v>
      </c>
    </row>
    <row r="18" spans="1:4" x14ac:dyDescent="0.25">
      <c r="A18" s="2" t="str">
        <f>"1.1.2.00.00- REALIZAVEL A CURTO PRAZO"</f>
        <v>1.1.2.00.00- REALIZAVEL A CURTO PRAZO</v>
      </c>
      <c r="B18" s="9">
        <v>9063077.3699999992</v>
      </c>
      <c r="C18" s="9">
        <v>-1535133.6</v>
      </c>
      <c r="D18" s="9">
        <v>7527943.7699999996</v>
      </c>
    </row>
    <row r="19" spans="1:4" x14ac:dyDescent="0.25">
      <c r="A19" s="2" t="str">
        <f>"1.1.2.01.00- CONTAS A RECEBER"</f>
        <v>1.1.2.01.00- CONTAS A RECEBER</v>
      </c>
      <c r="B19" s="9">
        <v>253567.34</v>
      </c>
      <c r="C19" s="9">
        <v>0</v>
      </c>
      <c r="D19" s="9">
        <v>253567.34</v>
      </c>
    </row>
    <row r="20" spans="1:4" x14ac:dyDescent="0.25">
      <c r="A20" s="2" t="str">
        <f>"1.1.2.01.94- Midia Onibus a Receber"</f>
        <v>1.1.2.01.94- Midia Onibus a Receber</v>
      </c>
      <c r="B20" s="9">
        <v>253567.34</v>
      </c>
      <c r="C20" s="9">
        <v>0</v>
      </c>
      <c r="D20" s="9">
        <v>253567.34</v>
      </c>
    </row>
    <row r="21" spans="1:4" x14ac:dyDescent="0.25">
      <c r="A21" s="2" t="str">
        <f>"1.1.2.04.00- CONVÊNIOS A RECEBER"</f>
        <v>1.1.2.04.00- CONVÊNIOS A RECEBER</v>
      </c>
      <c r="B21" s="9">
        <v>46336.24</v>
      </c>
      <c r="C21" s="9">
        <v>-33117.74</v>
      </c>
      <c r="D21" s="9">
        <v>13218.5</v>
      </c>
    </row>
    <row r="22" spans="1:4" x14ac:dyDescent="0.25">
      <c r="A22" s="2" t="str">
        <f>"1.1.2.04.99- Convenios cedidos a receber"</f>
        <v>1.1.2.04.99- Convenios cedidos a receber</v>
      </c>
      <c r="B22" s="9">
        <v>46336.24</v>
      </c>
      <c r="C22" s="9">
        <v>-33117.74</v>
      </c>
      <c r="D22" s="9">
        <v>13218.5</v>
      </c>
    </row>
    <row r="23" spans="1:4" x14ac:dyDescent="0.25">
      <c r="A23" s="2" t="str">
        <f>"1.1.2.06.00- ADIANTAMENTO A EMPREGADOS"</f>
        <v>1.1.2.06.00- ADIANTAMENTO A EMPREGADOS</v>
      </c>
      <c r="B23" s="9">
        <v>3527044.98</v>
      </c>
      <c r="C23" s="9">
        <v>-1699455.84</v>
      </c>
      <c r="D23" s="9">
        <v>1827589.14</v>
      </c>
    </row>
    <row r="24" spans="1:4" x14ac:dyDescent="0.25">
      <c r="A24" s="2" t="str">
        <f>"1.1.2.06.01- Adiantamento de Ferias"</f>
        <v>1.1.2.06.01- Adiantamento de Ferias</v>
      </c>
      <c r="B24" s="9">
        <v>3401998.05</v>
      </c>
      <c r="C24" s="9">
        <v>-2689455.69</v>
      </c>
      <c r="D24" s="9">
        <v>712542.36</v>
      </c>
    </row>
    <row r="25" spans="1:4" x14ac:dyDescent="0.25">
      <c r="A25" s="2" t="str">
        <f>"1.1.2.06.02- Adiantamento de 13. Salario"</f>
        <v>1.1.2.06.02- Adiantamento de 13. Salario</v>
      </c>
      <c r="B25" s="9">
        <v>0</v>
      </c>
      <c r="C25" s="9">
        <v>1014792.36</v>
      </c>
      <c r="D25" s="9">
        <v>1014792.36</v>
      </c>
    </row>
    <row r="26" spans="1:4" x14ac:dyDescent="0.25">
      <c r="A26" s="2" t="str">
        <f>"1.1.2.06.03- Adiant. de Salario/Parc. Ferias"</f>
        <v>1.1.2.06.03- Adiant. de Salario/Parc. Ferias</v>
      </c>
      <c r="B26" s="9">
        <v>99545.62</v>
      </c>
      <c r="C26" s="9">
        <v>616.63</v>
      </c>
      <c r="D26" s="9">
        <v>100162.25</v>
      </c>
    </row>
    <row r="27" spans="1:4" x14ac:dyDescent="0.25">
      <c r="A27" s="2" t="str">
        <f>"1.1.2.06.07- Adiantamento Pensao s/ Ferias"</f>
        <v>1.1.2.06.07- Adiantamento Pensao s/ Ferias</v>
      </c>
      <c r="B27" s="9">
        <v>25501.31</v>
      </c>
      <c r="C27" s="9">
        <v>-25409.14</v>
      </c>
      <c r="D27" s="9">
        <v>92.17</v>
      </c>
    </row>
    <row r="28" spans="1:4" x14ac:dyDescent="0.25">
      <c r="A28" s="2" t="str">
        <f>"1.1.2.08.00- ALMOXARIFADO"</f>
        <v>1.1.2.08.00- ALMOXARIFADO</v>
      </c>
      <c r="B28" s="9">
        <v>662584.43000000005</v>
      </c>
      <c r="C28" s="9">
        <v>-29814.240000000002</v>
      </c>
      <c r="D28" s="9">
        <v>632770.18999999994</v>
      </c>
    </row>
    <row r="29" spans="1:4" x14ac:dyDescent="0.25">
      <c r="A29" s="2" t="str">
        <f>"1.1.2.08.01- Material em Estoque"</f>
        <v>1.1.2.08.01- Material em Estoque</v>
      </c>
      <c r="B29" s="9">
        <v>662584.43000000005</v>
      </c>
      <c r="C29" s="9">
        <v>-29814.240000000002</v>
      </c>
      <c r="D29" s="9">
        <v>632770.18999999994</v>
      </c>
    </row>
    <row r="30" spans="1:4" x14ac:dyDescent="0.25">
      <c r="A30" s="2" t="str">
        <f>"1.1.2.10.00- IMPOSTOS E CONTRIB.A RECUPERAR"</f>
        <v>1.1.2.10.00- IMPOSTOS E CONTRIB.A RECUPERAR</v>
      </c>
      <c r="B30" s="9">
        <v>4899511.7300000004</v>
      </c>
      <c r="C30" s="9">
        <v>153585.26999999999</v>
      </c>
      <c r="D30" s="9">
        <v>5053097</v>
      </c>
    </row>
    <row r="31" spans="1:4" x14ac:dyDescent="0.25">
      <c r="A31" s="2" t="str">
        <f>"1.1.2.10.01- IR s/Aplicacao Financeira"</f>
        <v>1.1.2.10.01- IR s/Aplicacao Financeira</v>
      </c>
      <c r="B31" s="9">
        <v>440369.07</v>
      </c>
      <c r="C31" s="9">
        <v>38254.51</v>
      </c>
      <c r="D31" s="9">
        <v>478623.58</v>
      </c>
    </row>
    <row r="32" spans="1:4" x14ac:dyDescent="0.25">
      <c r="A32" s="2" t="str">
        <f>"1.1.2.10.15- Cofins a Compensar"</f>
        <v>1.1.2.10.15- Cofins a Compensar</v>
      </c>
      <c r="B32" s="9">
        <v>3649226.48</v>
      </c>
      <c r="C32" s="9">
        <v>94383.82</v>
      </c>
      <c r="D32" s="9">
        <v>3743610.3</v>
      </c>
    </row>
    <row r="33" spans="1:4" x14ac:dyDescent="0.25">
      <c r="A33" s="2" t="str">
        <f>"1.1.2.10.16- PIS a Compensar"</f>
        <v>1.1.2.10.16- PIS a Compensar</v>
      </c>
      <c r="B33" s="9">
        <v>809916.18</v>
      </c>
      <c r="C33" s="9">
        <v>20946.939999999999</v>
      </c>
      <c r="D33" s="9">
        <v>830863.12</v>
      </c>
    </row>
    <row r="34" spans="1:4" x14ac:dyDescent="0.25">
      <c r="A34" s="2" t="str">
        <f>"1.1.2.11.00- DESPESAS ANTECIPADAS"</f>
        <v>1.1.2.11.00- DESPESAS ANTECIPADAS</v>
      </c>
      <c r="B34" s="9">
        <v>11235.69</v>
      </c>
      <c r="C34" s="9">
        <v>-937.88</v>
      </c>
      <c r="D34" s="9">
        <v>10297.81</v>
      </c>
    </row>
    <row r="35" spans="1:4" x14ac:dyDescent="0.25">
      <c r="A35" s="2" t="str">
        <f>"1.1.2.11.01- Premios de Seguros a Vencer"</f>
        <v>1.1.2.11.01- Premios de Seguros a Vencer</v>
      </c>
      <c r="B35" s="9">
        <v>11235.69</v>
      </c>
      <c r="C35" s="9">
        <v>-937.88</v>
      </c>
      <c r="D35" s="9">
        <v>10297.81</v>
      </c>
    </row>
    <row r="36" spans="1:4" x14ac:dyDescent="0.25">
      <c r="A36" s="2" t="str">
        <f>"1.1.2.14.00- CONTAS TRANSITORIAS - GRUPO ATIVO"</f>
        <v>1.1.2.14.00- CONTAS TRANSITORIAS - GRUPO ATIVO</v>
      </c>
      <c r="B36" s="9">
        <v>-337203.04</v>
      </c>
      <c r="C36" s="9">
        <v>74606.83</v>
      </c>
      <c r="D36" s="9">
        <v>-262596.21000000002</v>
      </c>
    </row>
    <row r="37" spans="1:4" x14ac:dyDescent="0.25">
      <c r="A37" s="2" t="str">
        <f>"1.1.2.14.07- Transitoria de Imposto"</f>
        <v>1.1.2.14.07- Transitoria de Imposto</v>
      </c>
      <c r="B37" s="9">
        <v>-337203.04</v>
      </c>
      <c r="C37" s="9">
        <v>74606.83</v>
      </c>
      <c r="D37" s="9">
        <v>-262596.21000000002</v>
      </c>
    </row>
    <row r="38" spans="1:4" x14ac:dyDescent="0.25">
      <c r="A38" s="2" t="str">
        <f>"1.2.0.00.00- ATIVO NAO CIRCULANTE"</f>
        <v>1.2.0.00.00- ATIVO NAO CIRCULANTE</v>
      </c>
      <c r="B38" s="9">
        <v>33547361.300000001</v>
      </c>
      <c r="C38" s="9">
        <v>-44381.49</v>
      </c>
      <c r="D38" s="9">
        <v>33502979.809999999</v>
      </c>
    </row>
    <row r="39" spans="1:4" x14ac:dyDescent="0.25">
      <c r="A39" s="2" t="str">
        <f>"1.2.1.00.00- REALIZAVEL A LONGO PRAZO"</f>
        <v>1.2.1.00.00- REALIZAVEL A LONGO PRAZO</v>
      </c>
      <c r="B39" s="9">
        <v>32504285.530000001</v>
      </c>
      <c r="C39" s="9">
        <v>-19174.29</v>
      </c>
      <c r="D39" s="9">
        <v>32485111.239999998</v>
      </c>
    </row>
    <row r="40" spans="1:4" x14ac:dyDescent="0.25">
      <c r="A40" s="2" t="str">
        <f>"1.2.1.01.00- CREDITOS E VALORES A RECEBER"</f>
        <v>1.2.1.01.00- CREDITOS E VALORES A RECEBER</v>
      </c>
      <c r="B40" s="9">
        <v>32504285.530000001</v>
      </c>
      <c r="C40" s="9">
        <v>-19174.29</v>
      </c>
      <c r="D40" s="9">
        <v>32485111.239999998</v>
      </c>
    </row>
    <row r="41" spans="1:4" x14ac:dyDescent="0.25">
      <c r="A41" s="2" t="str">
        <f>"1.2.1.01.01- Depositos Judiciais"</f>
        <v>1.2.1.01.01- Depositos Judiciais</v>
      </c>
      <c r="B41" s="9">
        <v>444815</v>
      </c>
      <c r="C41" s="9">
        <v>-19174.29</v>
      </c>
      <c r="D41" s="9">
        <v>425640.71</v>
      </c>
    </row>
    <row r="42" spans="1:4" x14ac:dyDescent="0.25">
      <c r="A42" s="2" t="str">
        <f>"1.2.1.01.04- Convenio Prefeitura Betim"</f>
        <v>1.2.1.01.04- Convenio Prefeitura Betim</v>
      </c>
      <c r="B42" s="9">
        <v>891.18</v>
      </c>
      <c r="C42" s="9">
        <v>0</v>
      </c>
      <c r="D42" s="9">
        <v>891.18</v>
      </c>
    </row>
    <row r="43" spans="1:4" x14ac:dyDescent="0.25">
      <c r="A43" s="2" t="str">
        <f>"1.2.1.01.05- Convenio IPSEMG"</f>
        <v>1.2.1.01.05- Convenio IPSEMG</v>
      </c>
      <c r="B43" s="9">
        <v>21163.53</v>
      </c>
      <c r="C43" s="9">
        <v>0</v>
      </c>
      <c r="D43" s="9">
        <v>21163.53</v>
      </c>
    </row>
    <row r="44" spans="1:4" x14ac:dyDescent="0.25">
      <c r="A44" s="2" t="str">
        <f>"1.2.1.01.06- Multas Transporte Coletivo"</f>
        <v>1.2.1.01.06- Multas Transporte Coletivo</v>
      </c>
      <c r="B44" s="9">
        <v>40046769.780000001</v>
      </c>
      <c r="C44" s="9">
        <v>0</v>
      </c>
      <c r="D44" s="9">
        <v>40046769.780000001</v>
      </c>
    </row>
    <row r="45" spans="1:4" x14ac:dyDescent="0.25">
      <c r="A45" s="2" t="str">
        <f>"1.2.1.01.07- (-) Provisao para Perdas"</f>
        <v>1.2.1.01.07- (-) Provisao para Perdas</v>
      </c>
      <c r="B45" s="9">
        <v>-8009353.96</v>
      </c>
      <c r="C45" s="9">
        <v>0</v>
      </c>
      <c r="D45" s="9">
        <v>-8009353.96</v>
      </c>
    </row>
    <row r="46" spans="1:4" x14ac:dyDescent="0.25">
      <c r="A46" s="2" t="str">
        <f>"1.3.1.00.00- INVESTIMENTOS"</f>
        <v>1.3.1.00.00- INVESTIMENTOS</v>
      </c>
      <c r="B46" s="9">
        <v>26061.01</v>
      </c>
      <c r="C46" s="9">
        <v>0</v>
      </c>
      <c r="D46" s="9">
        <v>26061.01</v>
      </c>
    </row>
    <row r="47" spans="1:4" x14ac:dyDescent="0.25">
      <c r="A47" s="2" t="str">
        <f>"1.3.1.01.00- OUTROS INVESTIMENTOS"</f>
        <v>1.3.1.01.00- OUTROS INVESTIMENTOS</v>
      </c>
      <c r="B47" s="9">
        <v>26061.01</v>
      </c>
      <c r="C47" s="9">
        <v>0</v>
      </c>
      <c r="D47" s="9">
        <v>26061.01</v>
      </c>
    </row>
    <row r="48" spans="1:4" x14ac:dyDescent="0.25">
      <c r="A48" s="2" t="str">
        <f>"1.3.1.01.01- Obras de Arte"</f>
        <v>1.3.1.01.01- Obras de Arte</v>
      </c>
      <c r="B48" s="9">
        <v>25200</v>
      </c>
      <c r="C48" s="9">
        <v>0</v>
      </c>
      <c r="D48" s="9">
        <v>25200</v>
      </c>
    </row>
    <row r="49" spans="1:4" x14ac:dyDescent="0.25">
      <c r="A49" s="2" t="str">
        <f>"1.3.1.01.02- Participações Societárias - PBH ATIVOS"</f>
        <v>1.3.1.01.02- Participações Societárias - PBH ATIVOS</v>
      </c>
      <c r="B49" s="9">
        <v>861.01</v>
      </c>
      <c r="C49" s="9">
        <v>0</v>
      </c>
      <c r="D49" s="9">
        <v>861.01</v>
      </c>
    </row>
    <row r="50" spans="1:4" x14ac:dyDescent="0.25">
      <c r="A50" s="2" t="str">
        <f>"1.3.2.00.00- IMOBILIZADO"</f>
        <v>1.3.2.00.00- IMOBILIZADO</v>
      </c>
      <c r="B50" s="9">
        <v>6837645.75</v>
      </c>
      <c r="C50" s="9">
        <v>0</v>
      </c>
      <c r="D50" s="9">
        <v>6837645.75</v>
      </c>
    </row>
    <row r="51" spans="1:4" x14ac:dyDescent="0.25">
      <c r="A51" s="2" t="str">
        <f>"1.3.2.01.01- Maquinas e equipamentos"</f>
        <v>1.3.2.01.01- Maquinas e equipamentos</v>
      </c>
      <c r="B51" s="9">
        <v>248917.09</v>
      </c>
      <c r="C51" s="9">
        <v>0</v>
      </c>
      <c r="D51" s="9">
        <v>248917.09</v>
      </c>
    </row>
    <row r="52" spans="1:4" x14ac:dyDescent="0.25">
      <c r="A52" s="2" t="str">
        <f>"1.3.2.02.01- Ferramentas"</f>
        <v>1.3.2.02.01- Ferramentas</v>
      </c>
      <c r="B52" s="9">
        <v>8159.81</v>
      </c>
      <c r="C52" s="9">
        <v>0</v>
      </c>
      <c r="D52" s="9">
        <v>8159.81</v>
      </c>
    </row>
    <row r="53" spans="1:4" x14ac:dyDescent="0.25">
      <c r="A53" s="2" t="str">
        <f>"1.3.2.03.01- Equipamentos de comunicacao"</f>
        <v>1.3.2.03.01- Equipamentos de comunicacao</v>
      </c>
      <c r="B53" s="9">
        <v>635776.65</v>
      </c>
      <c r="C53" s="9">
        <v>0</v>
      </c>
      <c r="D53" s="9">
        <v>635776.65</v>
      </c>
    </row>
    <row r="54" spans="1:4" x14ac:dyDescent="0.25">
      <c r="A54" s="2" t="str">
        <f>"1.3.2.04.01- Instalacoes"</f>
        <v>1.3.2.04.01- Instalacoes</v>
      </c>
      <c r="B54" s="9">
        <v>89886.56</v>
      </c>
      <c r="C54" s="9">
        <v>0</v>
      </c>
      <c r="D54" s="9">
        <v>89886.56</v>
      </c>
    </row>
    <row r="55" spans="1:4" x14ac:dyDescent="0.25">
      <c r="A55" s="2" t="str">
        <f>"1.3.2.06.01- Moveis e utensilios"</f>
        <v>1.3.2.06.01- Moveis e utensilios</v>
      </c>
      <c r="B55" s="9">
        <v>448610.61</v>
      </c>
      <c r="C55" s="9">
        <v>0</v>
      </c>
      <c r="D55" s="9">
        <v>448610.61</v>
      </c>
    </row>
    <row r="56" spans="1:4" x14ac:dyDescent="0.25">
      <c r="A56" s="2" t="str">
        <f>"1.3.2.08.01- Instalacoes administrativas"</f>
        <v>1.3.2.08.01- Instalacoes administrativas</v>
      </c>
      <c r="B56" s="9">
        <v>98491.4</v>
      </c>
      <c r="C56" s="9">
        <v>0</v>
      </c>
      <c r="D56" s="9">
        <v>98491.4</v>
      </c>
    </row>
    <row r="57" spans="1:4" x14ac:dyDescent="0.25">
      <c r="A57" s="2" t="str">
        <f>"1.3.2.09.01- Aparelhos/equipamentos diversos"</f>
        <v>1.3.2.09.01- Aparelhos/equipamentos diversos</v>
      </c>
      <c r="B57" s="9">
        <v>620025.93000000005</v>
      </c>
      <c r="C57" s="9">
        <v>0</v>
      </c>
      <c r="D57" s="9">
        <v>620025.93000000005</v>
      </c>
    </row>
    <row r="58" spans="1:4" x14ac:dyDescent="0.25">
      <c r="A58" s="2" t="str">
        <f>"1.3.2.10.01- Equip. p/ processamento de dados"</f>
        <v>1.3.2.10.01- Equip. p/ processamento de dados</v>
      </c>
      <c r="B58" s="9">
        <v>1494365.77</v>
      </c>
      <c r="C58" s="9">
        <v>0</v>
      </c>
      <c r="D58" s="9">
        <v>1494365.77</v>
      </c>
    </row>
    <row r="59" spans="1:4" x14ac:dyDescent="0.25">
      <c r="A59" s="2" t="str">
        <f>"1.3.2.12.01- Micros/impressoras e acessorios"</f>
        <v>1.3.2.12.01- Micros/impressoras e acessorios</v>
      </c>
      <c r="B59" s="9">
        <v>1421066.01</v>
      </c>
      <c r="C59" s="9">
        <v>0</v>
      </c>
      <c r="D59" s="9">
        <v>1421066.01</v>
      </c>
    </row>
    <row r="60" spans="1:4" x14ac:dyDescent="0.25">
      <c r="A60" s="2" t="str">
        <f>"1.3.2.13.01- Imobilizacao em imoveis de terceiros"</f>
        <v>1.3.2.13.01- Imobilizacao em imoveis de terceiros</v>
      </c>
      <c r="B60" s="9">
        <v>609961.46</v>
      </c>
      <c r="C60" s="9">
        <v>0</v>
      </c>
      <c r="D60" s="9">
        <v>609961.46</v>
      </c>
    </row>
    <row r="61" spans="1:4" x14ac:dyDescent="0.25">
      <c r="A61" s="2" t="str">
        <f>"1.3.2.14.01- Estacao Diamante"</f>
        <v>1.3.2.14.01- Estacao Diamante</v>
      </c>
      <c r="B61" s="9">
        <v>1162384.46</v>
      </c>
      <c r="C61" s="9">
        <v>0</v>
      </c>
      <c r="D61" s="9">
        <v>1162384.46</v>
      </c>
    </row>
    <row r="62" spans="1:4" x14ac:dyDescent="0.25">
      <c r="A62" s="2" t="str">
        <f>"1.3.3.00.00- INTANGIVEL"</f>
        <v>1.3.3.00.00- INTANGIVEL</v>
      </c>
      <c r="B62" s="9">
        <v>37558</v>
      </c>
      <c r="C62" s="9">
        <v>0</v>
      </c>
      <c r="D62" s="9">
        <v>37558</v>
      </c>
    </row>
    <row r="63" spans="1:4" x14ac:dyDescent="0.25">
      <c r="A63" s="2" t="str">
        <f>"1.3.3.03.00- MARCAS E PATENTES"</f>
        <v>1.3.3.03.00- MARCAS E PATENTES</v>
      </c>
      <c r="B63" s="9">
        <v>808</v>
      </c>
      <c r="C63" s="9">
        <v>0</v>
      </c>
      <c r="D63" s="9">
        <v>808</v>
      </c>
    </row>
    <row r="64" spans="1:4" x14ac:dyDescent="0.25">
      <c r="A64" s="2" t="str">
        <f>"1.3.3.03.01- Marcas e Patentes"</f>
        <v>1.3.3.03.01- Marcas e Patentes</v>
      </c>
      <c r="B64" s="9">
        <v>808</v>
      </c>
      <c r="C64" s="9">
        <v>0</v>
      </c>
      <c r="D64" s="9">
        <v>808</v>
      </c>
    </row>
    <row r="65" spans="1:4" x14ac:dyDescent="0.25">
      <c r="A65" s="2" t="str">
        <f>"1.3.3.04.01- Programas e Sistemas"</f>
        <v>1.3.3.04.01- Programas e Sistemas</v>
      </c>
      <c r="B65" s="9">
        <v>36750</v>
      </c>
      <c r="C65" s="9">
        <v>0</v>
      </c>
      <c r="D65" s="9">
        <v>36750</v>
      </c>
    </row>
    <row r="66" spans="1:4" x14ac:dyDescent="0.25">
      <c r="A66" s="2" t="str">
        <f>"1.3.5.00.00- ( - )DEPRECIACAO E AMORTIZACAO"</f>
        <v>1.3.5.00.00- ( - )DEPRECIACAO E AMORTIZACAO</v>
      </c>
      <c r="B66" s="9">
        <v>-5858188.9900000002</v>
      </c>
      <c r="C66" s="9">
        <v>-25207.200000000001</v>
      </c>
      <c r="D66" s="9">
        <v>-5883396.1900000004</v>
      </c>
    </row>
    <row r="67" spans="1:4" x14ac:dyDescent="0.25">
      <c r="A67" s="2" t="str">
        <f>"1.3.5.01.00- ( - ) DEPRECIACAO E AMORTIZACAO"</f>
        <v>1.3.5.01.00- ( - ) DEPRECIACAO E AMORTIZACAO</v>
      </c>
      <c r="B67" s="9">
        <v>-5858188.9900000002</v>
      </c>
      <c r="C67" s="9">
        <v>-25207.200000000001</v>
      </c>
      <c r="D67" s="9">
        <v>-5883396.1900000004</v>
      </c>
    </row>
    <row r="68" spans="1:4" x14ac:dyDescent="0.25">
      <c r="A68" s="2" t="str">
        <f>"1.3.5.01.01- ( - ) Moveis e Utensilios"</f>
        <v>1.3.5.01.01- ( - ) Moveis e Utensilios</v>
      </c>
      <c r="B68" s="9">
        <v>-428741.57</v>
      </c>
      <c r="C68" s="9">
        <v>-293.25</v>
      </c>
      <c r="D68" s="9">
        <v>-429034.82</v>
      </c>
    </row>
    <row r="69" spans="1:4" x14ac:dyDescent="0.25">
      <c r="A69" s="2" t="str">
        <f>"1.3.5.01.02- ( - ) Aparelhos/Equipamentos Diversos"</f>
        <v>1.3.5.01.02- ( - ) Aparelhos/Equipamentos Diversos</v>
      </c>
      <c r="B69" s="9">
        <v>-577201.66</v>
      </c>
      <c r="C69" s="9">
        <v>-1651.77</v>
      </c>
      <c r="D69" s="9">
        <v>-578853.43000000005</v>
      </c>
    </row>
    <row r="70" spans="1:4" x14ac:dyDescent="0.25">
      <c r="A70" s="2" t="str">
        <f>"1.3.5.01.03- ( - ) Instalacoes Administrativas"</f>
        <v>1.3.5.01.03- ( - ) Instalacoes Administrativas</v>
      </c>
      <c r="B70" s="9">
        <v>-98491.4</v>
      </c>
      <c r="C70" s="9">
        <v>0</v>
      </c>
      <c r="D70" s="9">
        <v>-98491.4</v>
      </c>
    </row>
    <row r="71" spans="1:4" x14ac:dyDescent="0.25">
      <c r="A71" s="2" t="str">
        <f>"1.3.5.01.05- ( - ) Impressoras e Micros"</f>
        <v>1.3.5.01.05- ( - ) Impressoras e Micros</v>
      </c>
      <c r="B71" s="9">
        <v>-2270549.7799999998</v>
      </c>
      <c r="C71" s="9">
        <v>-12687.63</v>
      </c>
      <c r="D71" s="9">
        <v>-2283237.41</v>
      </c>
    </row>
    <row r="72" spans="1:4" x14ac:dyDescent="0.25">
      <c r="A72" s="2" t="str">
        <f>"1.3.5.01.06- ( - ) Maquinas e Equipamentos"</f>
        <v>1.3.5.01.06- ( - ) Maquinas e Equipamentos</v>
      </c>
      <c r="B72" s="9">
        <v>-219597.61</v>
      </c>
      <c r="C72" s="9">
        <v>-555.08000000000004</v>
      </c>
      <c r="D72" s="9">
        <v>-220152.69</v>
      </c>
    </row>
    <row r="73" spans="1:4" x14ac:dyDescent="0.25">
      <c r="A73" s="2" t="str">
        <f>"1.3.5.01.07- ( - ) Equipamentos de Comunicacao"</f>
        <v>1.3.5.01.07- ( - ) Equipamentos de Comunicacao</v>
      </c>
      <c r="B73" s="9">
        <v>-568484.4</v>
      </c>
      <c r="C73" s="9">
        <v>-7995.34</v>
      </c>
      <c r="D73" s="9">
        <v>-576479.74</v>
      </c>
    </row>
    <row r="74" spans="1:4" x14ac:dyDescent="0.25">
      <c r="A74" s="2" t="str">
        <f>"1.3.5.01.08- ( - ) Instalacoes Operacionais"</f>
        <v>1.3.5.01.08- ( - ) Instalacoes Operacionais</v>
      </c>
      <c r="B74" s="9">
        <v>-86533.96</v>
      </c>
      <c r="C74" s="9">
        <v>-95.83</v>
      </c>
      <c r="D74" s="9">
        <v>-86629.79</v>
      </c>
    </row>
    <row r="75" spans="1:4" x14ac:dyDescent="0.25">
      <c r="A75" s="2" t="str">
        <f>"1.3.5.01.09- ( - ) Programas (Softwares)"</f>
        <v>1.3.5.01.09- ( - ) Programas (Softwares)</v>
      </c>
      <c r="B75" s="9">
        <v>-36750</v>
      </c>
      <c r="C75" s="9">
        <v>0</v>
      </c>
      <c r="D75" s="9">
        <v>-36750</v>
      </c>
    </row>
    <row r="76" spans="1:4" x14ac:dyDescent="0.25">
      <c r="A76" s="2" t="str">
        <f>"1.3.5.01.14- ( - ) Ferramentas"</f>
        <v>1.3.5.01.14- ( - ) Ferramentas</v>
      </c>
      <c r="B76" s="9">
        <v>-8159.81</v>
      </c>
      <c r="C76" s="9">
        <v>0</v>
      </c>
      <c r="D76" s="9">
        <v>-8159.81</v>
      </c>
    </row>
    <row r="77" spans="1:4" x14ac:dyDescent="0.25">
      <c r="A77" s="2" t="str">
        <f>"1.3.5.01.15- ( - ) Imobilizacoes em Imov. Terceiros"</f>
        <v>1.3.5.01.15- ( - ) Imobilizacoes em Imov. Terceiros</v>
      </c>
      <c r="B77" s="9">
        <v>-1563678.8</v>
      </c>
      <c r="C77" s="9">
        <v>-1928.3</v>
      </c>
      <c r="D77" s="9">
        <v>-1565607.1</v>
      </c>
    </row>
    <row r="78" spans="1:4" x14ac:dyDescent="0.25">
      <c r="A78" s="2" t="str">
        <f>""</f>
        <v/>
      </c>
      <c r="B78" s="3" t="str">
        <f>""</f>
        <v/>
      </c>
      <c r="C78" s="3" t="str">
        <f>""</f>
        <v/>
      </c>
      <c r="D78" s="3" t="str">
        <f>""</f>
        <v/>
      </c>
    </row>
    <row r="79" spans="1:4" x14ac:dyDescent="0.25">
      <c r="A79" s="2" t="str">
        <f>"PASSIVO"</f>
        <v>PASSIVO</v>
      </c>
      <c r="B79" s="3" t="str">
        <f>""</f>
        <v/>
      </c>
      <c r="C79" s="3" t="str">
        <f>""</f>
        <v/>
      </c>
      <c r="D79" s="3" t="str">
        <f>""</f>
        <v/>
      </c>
    </row>
    <row r="80" spans="1:4" x14ac:dyDescent="0.25">
      <c r="A80" s="2" t="str">
        <f>"2.0.0.00.00- PASSIVO"</f>
        <v>2.0.0.00.00- PASSIVO</v>
      </c>
      <c r="B80" s="9">
        <v>62739392.909999996</v>
      </c>
      <c r="C80" s="9">
        <v>-3761323.5</v>
      </c>
      <c r="D80" s="9">
        <v>58978069.409999996</v>
      </c>
    </row>
    <row r="81" spans="1:4" x14ac:dyDescent="0.25">
      <c r="A81" s="2" t="str">
        <f>"2.1.0.00.00- PASSIVO CIRCULANTE"</f>
        <v>2.1.0.00.00- PASSIVO CIRCULANTE</v>
      </c>
      <c r="B81" s="9">
        <v>38896708.659999996</v>
      </c>
      <c r="C81" s="9">
        <v>-568285.91</v>
      </c>
      <c r="D81" s="9">
        <v>38328422.75</v>
      </c>
    </row>
    <row r="82" spans="1:4" x14ac:dyDescent="0.25">
      <c r="A82" s="2" t="str">
        <f>"2.1.1.00.00- OBRIGACOES COM PESSOAL"</f>
        <v>2.1.1.00.00- OBRIGACOES COM PESSOAL</v>
      </c>
      <c r="B82" s="9">
        <v>20068787.559999999</v>
      </c>
      <c r="C82" s="9">
        <v>-1492325.02</v>
      </c>
      <c r="D82" s="9">
        <v>18576462.539999999</v>
      </c>
    </row>
    <row r="83" spans="1:4" x14ac:dyDescent="0.25">
      <c r="A83" s="2" t="str">
        <f>"2.1.1.01.00- SALARIOS A PAGAR"</f>
        <v>2.1.1.01.00- SALARIOS A PAGAR</v>
      </c>
      <c r="B83" s="9">
        <v>20068787.559999999</v>
      </c>
      <c r="C83" s="9">
        <v>-1492325.02</v>
      </c>
      <c r="D83" s="9">
        <v>18576462.539999999</v>
      </c>
    </row>
    <row r="84" spans="1:4" x14ac:dyDescent="0.25">
      <c r="A84" s="2" t="str">
        <f>"2.1.1.01.01- Salarios a Pagar"</f>
        <v>2.1.1.01.01- Salarios a Pagar</v>
      </c>
      <c r="B84" s="9">
        <v>6130550.6299999999</v>
      </c>
      <c r="C84" s="9">
        <v>-503854.79</v>
      </c>
      <c r="D84" s="9">
        <v>5626695.8399999999</v>
      </c>
    </row>
    <row r="85" spans="1:4" x14ac:dyDescent="0.25">
      <c r="A85" s="2" t="str">
        <f>"2.1.1.01.02- Provisão 13º Salário"</f>
        <v>2.1.1.01.02- Provisão 13º Salário</v>
      </c>
      <c r="B85" s="9">
        <v>0</v>
      </c>
      <c r="C85" s="9">
        <v>767925.65</v>
      </c>
      <c r="D85" s="9">
        <v>767925.65</v>
      </c>
    </row>
    <row r="86" spans="1:4" x14ac:dyDescent="0.25">
      <c r="A86" s="2" t="str">
        <f>"2.1.1.01.03- Ferias a pagar"</f>
        <v>2.1.1.01.03- Ferias a pagar</v>
      </c>
      <c r="B86" s="9">
        <v>1197646.22</v>
      </c>
      <c r="C86" s="9">
        <v>-1197646.22</v>
      </c>
      <c r="D86" s="9">
        <v>0</v>
      </c>
    </row>
    <row r="87" spans="1:4" x14ac:dyDescent="0.25">
      <c r="A87" s="2" t="str">
        <f>"2.1.1.01.05- Rescisoes a Pagar"</f>
        <v>2.1.1.01.05- Rescisoes a Pagar</v>
      </c>
      <c r="B87" s="9">
        <v>1495.43</v>
      </c>
      <c r="C87" s="9">
        <v>-1188.1099999999999</v>
      </c>
      <c r="D87" s="9">
        <v>307.32</v>
      </c>
    </row>
    <row r="88" spans="1:4" x14ac:dyDescent="0.25">
      <c r="A88" s="2" t="str">
        <f>"2.1.1.01.09- Provisao de Ferias"</f>
        <v>2.1.1.01.09- Provisao de Ferias</v>
      </c>
      <c r="B88" s="9">
        <v>12641768.640000001</v>
      </c>
      <c r="C88" s="9">
        <v>-538377.56000000006</v>
      </c>
      <c r="D88" s="9">
        <v>12103391.08</v>
      </c>
    </row>
    <row r="89" spans="1:4" x14ac:dyDescent="0.25">
      <c r="A89" s="2" t="str">
        <f>"2.1.1.01.12- Pensão Judicial"</f>
        <v>2.1.1.01.12- Pensão Judicial</v>
      </c>
      <c r="B89" s="9">
        <v>97326.64</v>
      </c>
      <c r="C89" s="9">
        <v>-19183.990000000002</v>
      </c>
      <c r="D89" s="9">
        <v>78142.649999999994</v>
      </c>
    </row>
    <row r="90" spans="1:4" x14ac:dyDescent="0.25">
      <c r="A90" s="2" t="str">
        <f>"2.1.2.00.00- OBRIGACOES SOCIAIS A CURTO PRAZO"</f>
        <v>2.1.2.00.00- OBRIGACOES SOCIAIS A CURTO PRAZO</v>
      </c>
      <c r="B90" s="9">
        <v>9720072.8699999992</v>
      </c>
      <c r="C90" s="9">
        <v>206320.74</v>
      </c>
      <c r="D90" s="9">
        <v>9926393.6099999994</v>
      </c>
    </row>
    <row r="91" spans="1:4" x14ac:dyDescent="0.25">
      <c r="A91" s="2" t="str">
        <f>"2.1.2.01.00- OBRIGACOES SOCIAIS A RECOLHER"</f>
        <v>2.1.2.01.00- OBRIGACOES SOCIAIS A RECOLHER</v>
      </c>
      <c r="B91" s="9">
        <v>9720072.8699999992</v>
      </c>
      <c r="C91" s="9">
        <v>206320.74</v>
      </c>
      <c r="D91" s="9">
        <v>9926393.6099999994</v>
      </c>
    </row>
    <row r="92" spans="1:4" x14ac:dyDescent="0.25">
      <c r="A92" s="2" t="str">
        <f>"2.1.2.01.01- INSS a recolher s/Folha Pagto"</f>
        <v>2.1.2.01.01- INSS a recolher s/Folha Pagto</v>
      </c>
      <c r="B92" s="9">
        <v>3488478.08</v>
      </c>
      <c r="C92" s="9">
        <v>192446.6</v>
      </c>
      <c r="D92" s="9">
        <v>3680924.68</v>
      </c>
    </row>
    <row r="93" spans="1:4" x14ac:dyDescent="0.25">
      <c r="A93" s="2" t="str">
        <f>"2.1.2.01.02- FGTS a recolher s/Folha Pagto"</f>
        <v>2.1.2.01.02- FGTS a recolher s/Folha Pagto</v>
      </c>
      <c r="B93" s="9">
        <v>1173791.5</v>
      </c>
      <c r="C93" s="9">
        <v>-260269.11</v>
      </c>
      <c r="D93" s="9">
        <v>913522.39</v>
      </c>
    </row>
    <row r="94" spans="1:4" x14ac:dyDescent="0.25">
      <c r="A94" s="2" t="str">
        <f>"2.1.2.01.05- Contribuicao Sindical"</f>
        <v>2.1.2.01.05- Contribuicao Sindical</v>
      </c>
      <c r="B94" s="9">
        <v>9773.44</v>
      </c>
      <c r="C94" s="9">
        <v>43.23</v>
      </c>
      <c r="D94" s="9">
        <v>9816.67</v>
      </c>
    </row>
    <row r="95" spans="1:4" x14ac:dyDescent="0.25">
      <c r="A95" s="2" t="str">
        <f>"2.1.2.01.06- INSS s/Provisao de Ferias"</f>
        <v>2.1.2.01.06- INSS s/Provisao de Ferias</v>
      </c>
      <c r="B95" s="9">
        <v>3658126.09</v>
      </c>
      <c r="C95" s="9">
        <v>-158969.32</v>
      </c>
      <c r="D95" s="9">
        <v>3499156.77</v>
      </c>
    </row>
    <row r="96" spans="1:4" x14ac:dyDescent="0.25">
      <c r="A96" s="2" t="str">
        <f>"2.1.2.01.09- INSS a Recolher s/Autonomos"</f>
        <v>2.1.2.01.09- INSS a Recolher s/Autonomos</v>
      </c>
      <c r="B96" s="9">
        <v>4844.84</v>
      </c>
      <c r="C96" s="9">
        <v>-797.25</v>
      </c>
      <c r="D96" s="9">
        <v>4047.59</v>
      </c>
    </row>
    <row r="97" spans="1:4" x14ac:dyDescent="0.25">
      <c r="A97" s="2" t="str">
        <f>"2.1.2.01.10- INSS s/Provisao de 13.Salario"</f>
        <v>2.1.2.01.10- INSS s/Provisao de 13.Salario</v>
      </c>
      <c r="B97" s="9">
        <v>0</v>
      </c>
      <c r="C97" s="9">
        <v>222000.43</v>
      </c>
      <c r="D97" s="9">
        <v>222000.43</v>
      </c>
    </row>
    <row r="98" spans="1:4" x14ac:dyDescent="0.25">
      <c r="A98" s="2" t="str">
        <f>"2.1.2.01.11- FGTS s/Provisao de 13.Salario"</f>
        <v>2.1.2.01.11- FGTS s/Provisao de 13.Salario</v>
      </c>
      <c r="B98" s="9">
        <v>0</v>
      </c>
      <c r="C98" s="9">
        <v>46124.69</v>
      </c>
      <c r="D98" s="9">
        <v>46124.69</v>
      </c>
    </row>
    <row r="99" spans="1:4" x14ac:dyDescent="0.25">
      <c r="A99" s="2" t="str">
        <f>"2.1.2.01.12- FGTS s/Provisao de Ferias"</f>
        <v>2.1.2.01.12- FGTS s/Provisao de Ferias</v>
      </c>
      <c r="B99" s="9">
        <v>1011337.52</v>
      </c>
      <c r="C99" s="9">
        <v>-43078.78</v>
      </c>
      <c r="D99" s="9">
        <v>968258.74</v>
      </c>
    </row>
    <row r="100" spans="1:4" x14ac:dyDescent="0.25">
      <c r="A100" s="2" t="str">
        <f>"2.1.2.01.15- Crediserv-BH"</f>
        <v>2.1.2.01.15- Crediserv-BH</v>
      </c>
      <c r="B100" s="9">
        <v>25256.62</v>
      </c>
      <c r="C100" s="9">
        <v>-544.54</v>
      </c>
      <c r="D100" s="9">
        <v>24712.080000000002</v>
      </c>
    </row>
    <row r="101" spans="1:4" x14ac:dyDescent="0.25">
      <c r="A101" s="2" t="str">
        <f>"2.1.2.01.16- INSS Fonte a Recolher - PJ"</f>
        <v>2.1.2.01.16- INSS Fonte a Recolher - PJ</v>
      </c>
      <c r="B101" s="9">
        <v>346551.2</v>
      </c>
      <c r="C101" s="9">
        <v>209617.16</v>
      </c>
      <c r="D101" s="9">
        <v>556168.36</v>
      </c>
    </row>
    <row r="102" spans="1:4" x14ac:dyDescent="0.25">
      <c r="A102" s="2" t="str">
        <f>"2.1.2.01.18- INSS Fonte a Recolher - P F"</f>
        <v>2.1.2.01.18- INSS Fonte a Recolher - P F</v>
      </c>
      <c r="B102" s="9">
        <v>1913.58</v>
      </c>
      <c r="C102" s="9">
        <v>-252.37</v>
      </c>
      <c r="D102" s="9">
        <v>1661.21</v>
      </c>
    </row>
    <row r="103" spans="1:4" x14ac:dyDescent="0.25">
      <c r="A103" s="2" t="str">
        <f>"2.1.3.00.00- OBRIGACOES FISCAIS A CURTO PRAZO"</f>
        <v>2.1.3.00.00- OBRIGACOES FISCAIS A CURTO PRAZO</v>
      </c>
      <c r="B103" s="9">
        <v>3852028.08</v>
      </c>
      <c r="C103" s="9">
        <v>-1298477.71</v>
      </c>
      <c r="D103" s="9">
        <v>2553550.37</v>
      </c>
    </row>
    <row r="104" spans="1:4" x14ac:dyDescent="0.25">
      <c r="A104" s="2" t="str">
        <f>"2.1.3.01.00- IMPOSTOS E TAXAS A RECOLHER"</f>
        <v>2.1.3.01.00- IMPOSTOS E TAXAS A RECOLHER</v>
      </c>
      <c r="B104" s="9">
        <v>3852028.08</v>
      </c>
      <c r="C104" s="9">
        <v>-1298477.71</v>
      </c>
      <c r="D104" s="9">
        <v>2553550.37</v>
      </c>
    </row>
    <row r="105" spans="1:4" x14ac:dyDescent="0.25">
      <c r="A105" s="2" t="str">
        <f>"2.1.3.01.01- IRRF Fonte Folha Pagto"</f>
        <v>2.1.3.01.01- IRRF Fonte Folha Pagto</v>
      </c>
      <c r="B105" s="9">
        <v>3182271.47</v>
      </c>
      <c r="C105" s="9">
        <v>-1534767.26</v>
      </c>
      <c r="D105" s="9">
        <v>1647504.21</v>
      </c>
    </row>
    <row r="106" spans="1:4" x14ac:dyDescent="0.25">
      <c r="A106" s="2" t="str">
        <f>"2.1.3.01.03- IRRF Fonte - Pessoa  Juridica e Física"</f>
        <v>2.1.3.01.03- IRRF Fonte - Pessoa  Juridica e Física</v>
      </c>
      <c r="B106" s="9">
        <v>39166.81</v>
      </c>
      <c r="C106" s="9">
        <v>23664.68</v>
      </c>
      <c r="D106" s="9">
        <v>62831.49</v>
      </c>
    </row>
    <row r="107" spans="1:4" x14ac:dyDescent="0.25">
      <c r="A107" s="2" t="str">
        <f>"2.1.3.01.09- ISS Fonte a Recolher P.Juridica"</f>
        <v>2.1.3.01.09- ISS Fonte a Recolher P.Juridica</v>
      </c>
      <c r="B107" s="9">
        <v>286382.77</v>
      </c>
      <c r="C107" s="9">
        <v>155360.78</v>
      </c>
      <c r="D107" s="9">
        <v>441743.55</v>
      </c>
    </row>
    <row r="108" spans="1:4" x14ac:dyDescent="0.25">
      <c r="A108" s="2" t="str">
        <f>"2.1.3.01.12- CSLL-COFINS-PIS - FONTE"</f>
        <v>2.1.3.01.12- CSLL-COFINS-PIS - FONTE</v>
      </c>
      <c r="B108" s="9">
        <v>344207.03</v>
      </c>
      <c r="C108" s="9">
        <v>57264.09</v>
      </c>
      <c r="D108" s="9">
        <v>401471.12</v>
      </c>
    </row>
    <row r="109" spans="1:4" x14ac:dyDescent="0.25">
      <c r="A109" s="2" t="str">
        <f>"2.1.4.00.00- OUTRAS OBRIGACOES A CURTO PRAZO"</f>
        <v>2.1.4.00.00- OUTRAS OBRIGACOES A CURTO PRAZO</v>
      </c>
      <c r="B109" s="9">
        <v>5255820.1500000004</v>
      </c>
      <c r="C109" s="9">
        <v>2016196.08</v>
      </c>
      <c r="D109" s="9">
        <v>7272016.2300000004</v>
      </c>
    </row>
    <row r="110" spans="1:4" x14ac:dyDescent="0.25">
      <c r="A110" s="2" t="str">
        <f>"2.1.4.01.00- FORNECEDORES"</f>
        <v>2.1.4.01.00- FORNECEDORES</v>
      </c>
      <c r="B110" s="9">
        <v>3905365.52</v>
      </c>
      <c r="C110" s="9">
        <v>2021851.98</v>
      </c>
      <c r="D110" s="9">
        <v>5927217.5</v>
      </c>
    </row>
    <row r="111" spans="1:4" x14ac:dyDescent="0.25">
      <c r="A111" s="2" t="str">
        <f>"2.1.4.01.99- Fornecedores"</f>
        <v>2.1.4.01.99- Fornecedores</v>
      </c>
      <c r="B111" s="9">
        <v>3905365.52</v>
      </c>
      <c r="C111" s="9">
        <v>2021851.98</v>
      </c>
      <c r="D111" s="9">
        <v>5927217.5</v>
      </c>
    </row>
    <row r="112" spans="1:4" x14ac:dyDescent="0.25">
      <c r="A112" s="2" t="str">
        <f>"2.1.4.02.00- CONTAS A PAGAR"</f>
        <v>2.1.4.02.00- CONTAS A PAGAR</v>
      </c>
      <c r="B112" s="9">
        <v>432538.71</v>
      </c>
      <c r="C112" s="9">
        <v>-5655.9</v>
      </c>
      <c r="D112" s="9">
        <v>426882.81</v>
      </c>
    </row>
    <row r="113" spans="1:4" x14ac:dyDescent="0.25">
      <c r="A113" s="2" t="str">
        <f>"2.1.4.02.01- Emprestimo Consignado - Bradesco"</f>
        <v>2.1.4.02.01- Emprestimo Consignado - Bradesco</v>
      </c>
      <c r="B113" s="9">
        <v>257650.88</v>
      </c>
      <c r="C113" s="9">
        <v>1736.74</v>
      </c>
      <c r="D113" s="9">
        <v>259387.62</v>
      </c>
    </row>
    <row r="114" spans="1:4" x14ac:dyDescent="0.25">
      <c r="A114" s="2" t="str">
        <f>"2.1.4.02.03- Emprestimo Consignado - CEF"</f>
        <v>2.1.4.02.03- Emprestimo Consignado - CEF</v>
      </c>
      <c r="B114" s="9">
        <v>894.7</v>
      </c>
      <c r="C114" s="9">
        <v>447.35</v>
      </c>
      <c r="D114" s="9">
        <v>1342.05</v>
      </c>
    </row>
    <row r="115" spans="1:4" x14ac:dyDescent="0.25">
      <c r="A115" s="2" t="str">
        <f>"2.1.4.02.05- Emprestimo Consignado-Banco Alfa"</f>
        <v>2.1.4.02.05- Emprestimo Consignado-Banco Alfa</v>
      </c>
      <c r="B115" s="9">
        <v>7487.38</v>
      </c>
      <c r="C115" s="9">
        <v>-500</v>
      </c>
      <c r="D115" s="9">
        <v>6987.38</v>
      </c>
    </row>
    <row r="116" spans="1:4" x14ac:dyDescent="0.25">
      <c r="A116" s="2" t="str">
        <f>"2.1.4.02.14- Emprestimo Consignado Trabalhador"</f>
        <v>2.1.4.02.14- Emprestimo Consignado Trabalhador</v>
      </c>
      <c r="B116" s="9">
        <v>135436.79</v>
      </c>
      <c r="C116" s="9">
        <v>-3562.17</v>
      </c>
      <c r="D116" s="9">
        <v>131874.62</v>
      </c>
    </row>
    <row r="117" spans="1:4" x14ac:dyDescent="0.25">
      <c r="A117" s="2" t="str">
        <f>"2.1.4.02.99- Contas a Pagar"</f>
        <v>2.1.4.02.99- Contas a Pagar</v>
      </c>
      <c r="B117" s="9">
        <v>31068.959999999999</v>
      </c>
      <c r="C117" s="9">
        <v>-3777.82</v>
      </c>
      <c r="D117" s="9">
        <v>27291.14</v>
      </c>
    </row>
    <row r="118" spans="1:4" x14ac:dyDescent="0.25">
      <c r="A118" s="2" t="str">
        <f>"2.1.4.04.00- CAUCAO DE TERCEIROS/LEILAO"</f>
        <v>2.1.4.04.00- CAUCAO DE TERCEIROS/LEILAO</v>
      </c>
      <c r="B118" s="9">
        <v>917915.92</v>
      </c>
      <c r="C118" s="9">
        <v>0</v>
      </c>
      <c r="D118" s="9">
        <v>917915.92</v>
      </c>
    </row>
    <row r="119" spans="1:4" x14ac:dyDescent="0.25">
      <c r="A119" s="2" t="str">
        <f>"2.1.4.04.98- Leilões"</f>
        <v>2.1.4.04.98- Leilões</v>
      </c>
      <c r="B119" s="9">
        <v>857604.91</v>
      </c>
      <c r="C119" s="9">
        <v>0</v>
      </c>
      <c r="D119" s="9">
        <v>857604.91</v>
      </c>
    </row>
    <row r="120" spans="1:4" x14ac:dyDescent="0.25">
      <c r="A120" s="2" t="str">
        <f>"2.1.4.04.99- Caucao de Terceiros"</f>
        <v>2.1.4.04.99- Caucao de Terceiros</v>
      </c>
      <c r="B120" s="9">
        <v>60311.01</v>
      </c>
      <c r="C120" s="9">
        <v>0</v>
      </c>
      <c r="D120" s="9">
        <v>60311.01</v>
      </c>
    </row>
    <row r="121" spans="1:4" x14ac:dyDescent="0.25">
      <c r="A121" s="2" t="str">
        <f>"2.2.0.00.00- PASSIVO NAO CIRCULANTE"</f>
        <v>2.2.0.00.00- PASSIVO NAO CIRCULANTE</v>
      </c>
      <c r="B121" s="9">
        <v>167152632.40000001</v>
      </c>
      <c r="C121" s="9">
        <v>-207686.03</v>
      </c>
      <c r="D121" s="9">
        <v>166944946.37</v>
      </c>
    </row>
    <row r="122" spans="1:4" x14ac:dyDescent="0.25">
      <c r="A122" s="2" t="str">
        <f>"2.2.4.00.00- OUTRAS OBRIGACOES A LONGO PRAZO"</f>
        <v>2.2.4.00.00- OUTRAS OBRIGACOES A LONGO PRAZO</v>
      </c>
      <c r="B122" s="9">
        <v>167152632.40000001</v>
      </c>
      <c r="C122" s="9">
        <v>-207686.03</v>
      </c>
      <c r="D122" s="9">
        <v>166944946.37</v>
      </c>
    </row>
    <row r="123" spans="1:4" x14ac:dyDescent="0.25">
      <c r="A123" s="2" t="str">
        <f>"2.2.4.01.00- CREDORES DIVERSOS"</f>
        <v>2.2.4.01.00- CREDORES DIVERSOS</v>
      </c>
      <c r="B123" s="9">
        <v>13236311.74</v>
      </c>
      <c r="C123" s="9">
        <v>0</v>
      </c>
      <c r="D123" s="9">
        <v>13236311.74</v>
      </c>
    </row>
    <row r="124" spans="1:4" x14ac:dyDescent="0.25">
      <c r="A124" s="2" t="str">
        <f>"2.2.4.01.04- Provisão para Contingências Fiscais"</f>
        <v>2.2.4.01.04- Provisão para Contingências Fiscais</v>
      </c>
      <c r="B124" s="9">
        <v>12294456.800000001</v>
      </c>
      <c r="C124" s="9">
        <v>0</v>
      </c>
      <c r="D124" s="9">
        <v>12294456.800000001</v>
      </c>
    </row>
    <row r="125" spans="1:4" x14ac:dyDescent="0.25">
      <c r="A125" s="2" t="str">
        <f>"2.2.4.01.05- INSS Segurados"</f>
        <v>2.2.4.01.05- INSS Segurados</v>
      </c>
      <c r="B125" s="9">
        <v>941854.94</v>
      </c>
      <c r="C125" s="9">
        <v>0</v>
      </c>
      <c r="D125" s="9">
        <v>941854.94</v>
      </c>
    </row>
    <row r="126" spans="1:4" x14ac:dyDescent="0.25">
      <c r="A126" s="2" t="str">
        <f>"2.2.4.04.00- ACOES JUDICIAIS E TRABALHISTAS"</f>
        <v>2.2.4.04.00- ACOES JUDICIAIS E TRABALHISTAS</v>
      </c>
      <c r="B126" s="9">
        <v>153916320.66</v>
      </c>
      <c r="C126" s="9">
        <v>-207686.03</v>
      </c>
      <c r="D126" s="9">
        <v>153708634.63</v>
      </c>
    </row>
    <row r="127" spans="1:4" x14ac:dyDescent="0.25">
      <c r="A127" s="2" t="str">
        <f>"2.2.4.04.01- Acoes judiciais"</f>
        <v>2.2.4.04.01- Acoes judiciais</v>
      </c>
      <c r="B127" s="9">
        <v>52228746.659999996</v>
      </c>
      <c r="C127" s="9">
        <v>0</v>
      </c>
      <c r="D127" s="9">
        <v>52228746.659999996</v>
      </c>
    </row>
    <row r="128" spans="1:4" x14ac:dyDescent="0.25">
      <c r="A128" s="2" t="str">
        <f>"2.2.4.04.02- Acoes trabalhistas"</f>
        <v>2.2.4.04.02- Acoes trabalhistas</v>
      </c>
      <c r="B128" s="9">
        <v>101687574</v>
      </c>
      <c r="C128" s="9">
        <v>-207686.03</v>
      </c>
      <c r="D128" s="9">
        <v>101479887.97</v>
      </c>
    </row>
    <row r="129" spans="1:4" x14ac:dyDescent="0.25">
      <c r="A129" s="2" t="str">
        <f>"2.4.0.00.00- PATRIMONIO LIQUIDO"</f>
        <v>2.4.0.00.00- PATRIMONIO LIQUIDO</v>
      </c>
      <c r="B129" s="9">
        <v>-143309948.15000001</v>
      </c>
      <c r="C129" s="9">
        <v>-2985351.56</v>
      </c>
      <c r="D129" s="9">
        <v>-146295299.71000001</v>
      </c>
    </row>
    <row r="130" spans="1:4" x14ac:dyDescent="0.25">
      <c r="A130" s="2" t="str">
        <f>"2.4.1.00.00- CAPITAL SOCIAL"</f>
        <v>2.4.1.00.00- CAPITAL SOCIAL</v>
      </c>
      <c r="B130" s="9">
        <v>67418193.159999996</v>
      </c>
      <c r="C130" s="9">
        <v>0</v>
      </c>
      <c r="D130" s="9">
        <v>67418193.159999996</v>
      </c>
    </row>
    <row r="131" spans="1:4" x14ac:dyDescent="0.25">
      <c r="A131" s="2" t="str">
        <f>"2.4.1.02.00- CAPITAL REALIZADO"</f>
        <v>2.4.1.02.00- CAPITAL REALIZADO</v>
      </c>
      <c r="B131" s="9">
        <v>67418193.159999996</v>
      </c>
      <c r="C131" s="9">
        <v>0</v>
      </c>
      <c r="D131" s="9">
        <v>67418193.159999996</v>
      </c>
    </row>
    <row r="132" spans="1:4" x14ac:dyDescent="0.25">
      <c r="A132" s="2" t="str">
        <f>"2.4.1.02.01- Capital Subscrito"</f>
        <v>2.4.1.02.01- Capital Subscrito</v>
      </c>
      <c r="B132" s="9">
        <v>75000000</v>
      </c>
      <c r="C132" s="9">
        <v>0</v>
      </c>
      <c r="D132" s="9">
        <v>75000000</v>
      </c>
    </row>
    <row r="133" spans="1:4" x14ac:dyDescent="0.25">
      <c r="A133" s="2" t="str">
        <f>"2.4.1.02.04- Capital a Realizar"</f>
        <v>2.4.1.02.04- Capital a Realizar</v>
      </c>
      <c r="B133" s="9">
        <v>-7581806.8399999999</v>
      </c>
      <c r="C133" s="9">
        <v>0</v>
      </c>
      <c r="D133" s="9">
        <v>-7581806.8399999999</v>
      </c>
    </row>
    <row r="134" spans="1:4" x14ac:dyDescent="0.25">
      <c r="A134" s="2" t="str">
        <f>"2.4.3.00.00- RESULTADOS ACUMULADOS"</f>
        <v>2.4.3.00.00- RESULTADOS ACUMULADOS</v>
      </c>
      <c r="B134" s="9">
        <v>-210728141.31</v>
      </c>
      <c r="C134" s="9">
        <v>-2985351.56</v>
      </c>
      <c r="D134" s="9">
        <v>-213713492.87</v>
      </c>
    </row>
    <row r="135" spans="1:4" x14ac:dyDescent="0.25">
      <c r="A135" s="2" t="str">
        <f>"2.4.3.01.00- LUCROS/PREJUIZOS ACUMULADOS"</f>
        <v>2.4.3.01.00- LUCROS/PREJUIZOS ACUMULADOS</v>
      </c>
      <c r="B135" s="9">
        <v>-210728141.31</v>
      </c>
      <c r="C135" s="9">
        <v>-2985351.56</v>
      </c>
      <c r="D135" s="9">
        <v>-213713492.87</v>
      </c>
    </row>
    <row r="136" spans="1:4" x14ac:dyDescent="0.25">
      <c r="A136" s="2" t="str">
        <f>"2.4.3.01.01- Resultados de Exerc. Anteriores"</f>
        <v>2.4.3.01.01- Resultados de Exerc. Anteriores</v>
      </c>
      <c r="B136" s="9">
        <v>-198789507.34</v>
      </c>
      <c r="C136" s="9">
        <v>-11938633.970000001</v>
      </c>
      <c r="D136" s="9">
        <v>-210728141.31</v>
      </c>
    </row>
    <row r="137" spans="1:4" x14ac:dyDescent="0.25">
      <c r="A137" s="2" t="str">
        <f>"2.4.3.01.02- Resultado deste Exercicio"</f>
        <v>2.4.3.01.02- Resultado deste Exercicio</v>
      </c>
      <c r="B137" s="9">
        <v>-11938633.970000001</v>
      </c>
      <c r="C137" s="9">
        <v>8953282.4100000001</v>
      </c>
      <c r="D137" s="9">
        <v>-2985351.56</v>
      </c>
    </row>
    <row r="138" spans="1:4" x14ac:dyDescent="0.25">
      <c r="A138" s="2" t="str">
        <f>""</f>
        <v/>
      </c>
      <c r="B138" s="3" t="str">
        <f>""</f>
        <v/>
      </c>
      <c r="C138" s="3" t="str">
        <f>""</f>
        <v/>
      </c>
      <c r="D138" s="3" t="str">
        <f>""</f>
        <v/>
      </c>
    </row>
    <row r="139" spans="1:4" x14ac:dyDescent="0.25">
      <c r="A139" s="2" t="str">
        <f>"DESPESAS"</f>
        <v>DESPESAS</v>
      </c>
      <c r="B139" s="3" t="str">
        <f>""</f>
        <v/>
      </c>
      <c r="C139" s="3" t="str">
        <f>""</f>
        <v/>
      </c>
      <c r="D139" s="3" t="str">
        <f>""</f>
        <v/>
      </c>
    </row>
    <row r="140" spans="1:4" x14ac:dyDescent="0.25">
      <c r="A140" s="2" t="str">
        <f>"3.0.0.00.00- DESPESAS"</f>
        <v>3.0.0.00.00- DESPESAS</v>
      </c>
      <c r="B140" s="9">
        <v>0</v>
      </c>
      <c r="C140" s="9">
        <v>23185418.039999999</v>
      </c>
      <c r="D140" s="9">
        <v>23185418.039999999</v>
      </c>
    </row>
    <row r="141" spans="1:4" x14ac:dyDescent="0.25">
      <c r="A141" s="2" t="str">
        <f>"3.1.0.00.00- DESPESAS OPERACIONAIS"</f>
        <v>3.1.0.00.00- DESPESAS OPERACIONAIS</v>
      </c>
      <c r="B141" s="9">
        <v>0</v>
      </c>
      <c r="C141" s="9">
        <v>23185418.039999999</v>
      </c>
      <c r="D141" s="9">
        <v>23185418.039999999</v>
      </c>
    </row>
    <row r="142" spans="1:4" x14ac:dyDescent="0.25">
      <c r="A142" s="2" t="str">
        <f>"3.1.1.00.00- SALARIOS ADICIONAIS E HONORARIOS"</f>
        <v>3.1.1.00.00- SALARIOS ADICIONAIS E HONORARIOS</v>
      </c>
      <c r="B142" s="9">
        <v>0</v>
      </c>
      <c r="C142" s="9">
        <v>10883212.560000001</v>
      </c>
      <c r="D142" s="9">
        <v>10883212.560000001</v>
      </c>
    </row>
    <row r="143" spans="1:4" x14ac:dyDescent="0.25">
      <c r="A143" s="2" t="str">
        <f>"3.1.1.00.01- Honorarios diretoria"</f>
        <v>3.1.1.00.01- Honorarios diretoria</v>
      </c>
      <c r="B143" s="9">
        <v>0</v>
      </c>
      <c r="C143" s="9">
        <v>57904.11</v>
      </c>
      <c r="D143" s="9">
        <v>57904.11</v>
      </c>
    </row>
    <row r="144" spans="1:4" x14ac:dyDescent="0.25">
      <c r="A144" s="2" t="str">
        <f>"3.1.1.00.02- Honorarios conselho fiscal"</f>
        <v>3.1.1.00.02- Honorarios conselho fiscal</v>
      </c>
      <c r="B144" s="9">
        <v>0</v>
      </c>
      <c r="C144" s="9">
        <v>7151.25</v>
      </c>
      <c r="D144" s="9">
        <v>7151.25</v>
      </c>
    </row>
    <row r="145" spans="1:4" x14ac:dyDescent="0.25">
      <c r="A145" s="2" t="str">
        <f>"3.1.1.00.03- Honorarios cons. administracao"</f>
        <v>3.1.1.00.03- Honorarios cons. administracao</v>
      </c>
      <c r="B145" s="9">
        <v>0</v>
      </c>
      <c r="C145" s="9">
        <v>24538.6</v>
      </c>
      <c r="D145" s="9">
        <v>24538.6</v>
      </c>
    </row>
    <row r="146" spans="1:4" x14ac:dyDescent="0.25">
      <c r="A146" s="2" t="str">
        <f>"3.1.1.00.04- Salarios e adicionais"</f>
        <v>3.1.1.00.04- Salarios e adicionais</v>
      </c>
      <c r="B146" s="9">
        <v>0</v>
      </c>
      <c r="C146" s="9">
        <v>7921626.0800000001</v>
      </c>
      <c r="D146" s="9">
        <v>7921626.0800000001</v>
      </c>
    </row>
    <row r="147" spans="1:4" x14ac:dyDescent="0.25">
      <c r="A147" s="2" t="str">
        <f>"3.1.1.00.05- Ferias e abono pecuniario"</f>
        <v>3.1.1.00.05- Ferias e abono pecuniario</v>
      </c>
      <c r="B147" s="9">
        <v>0</v>
      </c>
      <c r="C147" s="9">
        <v>2049598.51</v>
      </c>
      <c r="D147" s="9">
        <v>2049598.51</v>
      </c>
    </row>
    <row r="148" spans="1:4" x14ac:dyDescent="0.25">
      <c r="A148" s="2" t="str">
        <f>"3.1.1.00.06- Decimo terceiro salario"</f>
        <v>3.1.1.00.06- Decimo terceiro salario</v>
      </c>
      <c r="B148" s="9">
        <v>0</v>
      </c>
      <c r="C148" s="9">
        <v>777441.76</v>
      </c>
      <c r="D148" s="9">
        <v>777441.76</v>
      </c>
    </row>
    <row r="149" spans="1:4" x14ac:dyDescent="0.25">
      <c r="A149" s="2" t="str">
        <f>"3.1.1.00.07- Indenizacoes trabalhistas"</f>
        <v>3.1.1.00.07- Indenizacoes trabalhistas</v>
      </c>
      <c r="B149" s="9">
        <v>0</v>
      </c>
      <c r="C149" s="9">
        <v>22763.33</v>
      </c>
      <c r="D149" s="9">
        <v>22763.33</v>
      </c>
    </row>
    <row r="150" spans="1:4" x14ac:dyDescent="0.25">
      <c r="A150" s="2" t="str">
        <f>"3.1.1.00.08- Bolsas de estagiario"</f>
        <v>3.1.1.00.08- Bolsas de estagiario</v>
      </c>
      <c r="B150" s="9">
        <v>0</v>
      </c>
      <c r="C150" s="9">
        <v>22188.92</v>
      </c>
      <c r="D150" s="9">
        <v>22188.92</v>
      </c>
    </row>
    <row r="151" spans="1:4" x14ac:dyDescent="0.25">
      <c r="A151" s="2" t="str">
        <f>"3.1.2.01.00- ENCARGOS SOCIAIS"</f>
        <v>3.1.2.01.00- ENCARGOS SOCIAIS</v>
      </c>
      <c r="B151" s="9">
        <v>0</v>
      </c>
      <c r="C151" s="9">
        <v>3957417.69</v>
      </c>
      <c r="D151" s="9">
        <v>3957417.69</v>
      </c>
    </row>
    <row r="152" spans="1:4" x14ac:dyDescent="0.25">
      <c r="A152" s="2" t="str">
        <f>"3.1.2.01.01- INSS"</f>
        <v>3.1.2.01.01- INSS</v>
      </c>
      <c r="B152" s="9">
        <v>0</v>
      </c>
      <c r="C152" s="9">
        <v>3040851.3</v>
      </c>
      <c r="D152" s="9">
        <v>3040851.3</v>
      </c>
    </row>
    <row r="153" spans="1:4" x14ac:dyDescent="0.25">
      <c r="A153" s="2" t="str">
        <f>"3.1.2.01.02- FGTS"</f>
        <v>3.1.2.01.02- FGTS</v>
      </c>
      <c r="B153" s="9">
        <v>0</v>
      </c>
      <c r="C153" s="9">
        <v>916566.39</v>
      </c>
      <c r="D153" s="9">
        <v>916566.39</v>
      </c>
    </row>
    <row r="154" spans="1:4" x14ac:dyDescent="0.25">
      <c r="A154" s="2" t="str">
        <f>"3.1.2.02.00- OUTRAS DESPESAS COM PESSOAL"</f>
        <v>3.1.2.02.00- OUTRAS DESPESAS COM PESSOAL</v>
      </c>
      <c r="B154" s="9">
        <v>0</v>
      </c>
      <c r="C154" s="9">
        <v>2199157.6</v>
      </c>
      <c r="D154" s="9">
        <v>2199157.6</v>
      </c>
    </row>
    <row r="155" spans="1:4" x14ac:dyDescent="0.25">
      <c r="A155" s="2" t="str">
        <f>"3.1.2.02.01- Seguros de Vida"</f>
        <v>3.1.2.02.01- Seguros de Vida</v>
      </c>
      <c r="B155" s="9">
        <v>0</v>
      </c>
      <c r="C155" s="9">
        <v>7950.83</v>
      </c>
      <c r="D155" s="9">
        <v>7950.83</v>
      </c>
    </row>
    <row r="156" spans="1:4" x14ac:dyDescent="0.25">
      <c r="A156" s="2" t="str">
        <f>"3.1.2.02.02- Ass. Medica Odontologica"</f>
        <v>3.1.2.02.02- Ass. Medica Odontologica</v>
      </c>
      <c r="B156" s="9">
        <v>0</v>
      </c>
      <c r="C156" s="9">
        <v>752794.31</v>
      </c>
      <c r="D156" s="9">
        <v>752794.31</v>
      </c>
    </row>
    <row r="157" spans="1:4" x14ac:dyDescent="0.25">
      <c r="A157" s="2" t="str">
        <f>"3.1.2.02.03- Vale Transporte"</f>
        <v>3.1.2.02.03- Vale Transporte</v>
      </c>
      <c r="B157" s="9">
        <v>0</v>
      </c>
      <c r="C157" s="9">
        <v>60864.98</v>
      </c>
      <c r="D157" s="9">
        <v>60864.98</v>
      </c>
    </row>
    <row r="158" spans="1:4" x14ac:dyDescent="0.25">
      <c r="A158" s="2" t="str">
        <f>"3.1.2.02.04- Vale Refeicao/Alimentacao"</f>
        <v>3.1.2.02.04- Vale Refeicao/Alimentacao</v>
      </c>
      <c r="B158" s="9">
        <v>0</v>
      </c>
      <c r="C158" s="9">
        <v>1361744.69</v>
      </c>
      <c r="D158" s="9">
        <v>1361744.69</v>
      </c>
    </row>
    <row r="159" spans="1:4" x14ac:dyDescent="0.25">
      <c r="A159" s="2" t="str">
        <f>"3.1.2.02.05- Compl. Auxilio Doenca"</f>
        <v>3.1.2.02.05- Compl. Auxilio Doenca</v>
      </c>
      <c r="B159" s="9">
        <v>0</v>
      </c>
      <c r="C159" s="9">
        <v>2212.73</v>
      </c>
      <c r="D159" s="9">
        <v>2212.73</v>
      </c>
    </row>
    <row r="160" spans="1:4" x14ac:dyDescent="0.25">
      <c r="A160" s="2" t="str">
        <f>"3.1.2.02.07- Auxilio Creche"</f>
        <v>3.1.2.02.07- Auxilio Creche</v>
      </c>
      <c r="B160" s="9">
        <v>0</v>
      </c>
      <c r="C160" s="9">
        <v>13590.06</v>
      </c>
      <c r="D160" s="9">
        <v>13590.06</v>
      </c>
    </row>
    <row r="161" spans="1:4" x14ac:dyDescent="0.25">
      <c r="A161" s="2" t="str">
        <f>"3.1.3.00.00- MATERIAIS"</f>
        <v>3.1.3.00.00- MATERIAIS</v>
      </c>
      <c r="B161" s="9">
        <v>0</v>
      </c>
      <c r="C161" s="9">
        <v>51202.22</v>
      </c>
      <c r="D161" s="9">
        <v>51202.22</v>
      </c>
    </row>
    <row r="162" spans="1:4" x14ac:dyDescent="0.25">
      <c r="A162" s="2" t="str">
        <f>"3.1.3.00.09- Material limp/conserv/copa/cozin"</f>
        <v>3.1.3.00.09- Material limp/conserv/copa/cozin</v>
      </c>
      <c r="B162" s="9">
        <v>0</v>
      </c>
      <c r="C162" s="9">
        <v>13610.66</v>
      </c>
      <c r="D162" s="9">
        <v>13610.66</v>
      </c>
    </row>
    <row r="163" spans="1:4" x14ac:dyDescent="0.25">
      <c r="A163" s="2" t="str">
        <f>"3.1.3.00.10- Impressos e material de escritorio"</f>
        <v>3.1.3.00.10- Impressos e material de escritorio</v>
      </c>
      <c r="B163" s="9">
        <v>0</v>
      </c>
      <c r="C163" s="9">
        <v>3798.55</v>
      </c>
      <c r="D163" s="9">
        <v>3798.55</v>
      </c>
    </row>
    <row r="164" spans="1:4" x14ac:dyDescent="0.25">
      <c r="A164" s="2" t="str">
        <f>"3.1.3.00.11- Materiais manut. inst. prediais"</f>
        <v>3.1.3.00.11- Materiais manut. inst. prediais</v>
      </c>
      <c r="B164" s="9">
        <v>0</v>
      </c>
      <c r="C164" s="9">
        <v>11387.4</v>
      </c>
      <c r="D164" s="9">
        <v>11387.4</v>
      </c>
    </row>
    <row r="165" spans="1:4" x14ac:dyDescent="0.25">
      <c r="A165" s="2" t="str">
        <f>"3.1.3.00.15- Materiais e supriment informatic"</f>
        <v>3.1.3.00.15- Materiais e supriment informatic</v>
      </c>
      <c r="B165" s="9">
        <v>0</v>
      </c>
      <c r="C165" s="9">
        <v>21565.61</v>
      </c>
      <c r="D165" s="9">
        <v>21565.61</v>
      </c>
    </row>
    <row r="166" spans="1:4" x14ac:dyDescent="0.25">
      <c r="A166" s="2" t="str">
        <f>"3.1.3.00.99- Outros materiais"</f>
        <v>3.1.3.00.99- Outros materiais</v>
      </c>
      <c r="B166" s="9">
        <v>0</v>
      </c>
      <c r="C166" s="9">
        <v>840</v>
      </c>
      <c r="D166" s="9">
        <v>840</v>
      </c>
    </row>
    <row r="167" spans="1:4" x14ac:dyDescent="0.25">
      <c r="A167" s="2" t="str">
        <f>"3.1.4.00.00- SERVICOS PRESTADOS POR TERCEIROS"</f>
        <v>3.1.4.00.00- SERVICOS PRESTADOS POR TERCEIROS</v>
      </c>
      <c r="B167" s="9">
        <v>0</v>
      </c>
      <c r="C167" s="9">
        <v>5404491.7999999998</v>
      </c>
      <c r="D167" s="9">
        <v>5404491.7999999998</v>
      </c>
    </row>
    <row r="168" spans="1:4" x14ac:dyDescent="0.25">
      <c r="A168" s="2" t="str">
        <f>"3.1.4.00.01- Consultoria"</f>
        <v>3.1.4.00.01- Consultoria</v>
      </c>
      <c r="B168" s="9">
        <v>0</v>
      </c>
      <c r="C168" s="9">
        <v>5360.95</v>
      </c>
      <c r="D168" s="9">
        <v>5360.95</v>
      </c>
    </row>
    <row r="169" spans="1:4" x14ac:dyDescent="0.25">
      <c r="A169" s="2" t="str">
        <f>"3.1.4.00.02- Locacao de veiculos"</f>
        <v>3.1.4.00.02- Locacao de veiculos</v>
      </c>
      <c r="B169" s="9">
        <v>0</v>
      </c>
      <c r="C169" s="9">
        <v>406.5</v>
      </c>
      <c r="D169" s="9">
        <v>406.5</v>
      </c>
    </row>
    <row r="170" spans="1:4" x14ac:dyDescent="0.25">
      <c r="A170" s="2" t="str">
        <f>"3.1.4.00.03- Locacao de equipamentos"</f>
        <v>3.1.4.00.03- Locacao de equipamentos</v>
      </c>
      <c r="B170" s="9">
        <v>0</v>
      </c>
      <c r="C170" s="9">
        <v>4302.25</v>
      </c>
      <c r="D170" s="9">
        <v>4302.25</v>
      </c>
    </row>
    <row r="171" spans="1:4" x14ac:dyDescent="0.25">
      <c r="A171" s="2" t="str">
        <f>"3.1.4.00.10- Mao de obra contratada"</f>
        <v>3.1.4.00.10- Mao de obra contratada</v>
      </c>
      <c r="B171" s="9">
        <v>0</v>
      </c>
      <c r="C171" s="9">
        <v>4542926.22</v>
      </c>
      <c r="D171" s="9">
        <v>4542926.22</v>
      </c>
    </row>
    <row r="172" spans="1:4" x14ac:dyDescent="0.25">
      <c r="A172" s="2" t="str">
        <f>"3.1.4.00.13- Publicidade e divulgacao"</f>
        <v>3.1.4.00.13- Publicidade e divulgacao</v>
      </c>
      <c r="B172" s="9">
        <v>0</v>
      </c>
      <c r="C172" s="9">
        <v>2332</v>
      </c>
      <c r="D172" s="9">
        <v>2332</v>
      </c>
    </row>
    <row r="173" spans="1:4" x14ac:dyDescent="0.25">
      <c r="A173" s="2" t="str">
        <f>"3.1.4.00.14- Informatica-serv. e/ou locacao"</f>
        <v>3.1.4.00.14- Informatica-serv. e/ou locacao</v>
      </c>
      <c r="B173" s="9">
        <v>0</v>
      </c>
      <c r="C173" s="9">
        <v>348182.94</v>
      </c>
      <c r="D173" s="9">
        <v>348182.94</v>
      </c>
    </row>
    <row r="174" spans="1:4" x14ac:dyDescent="0.25">
      <c r="A174" s="2" t="str">
        <f>"3.1.4.00.15- Outros serv. prestados - PF"</f>
        <v>3.1.4.00.15- Outros serv. prestados - PF</v>
      </c>
      <c r="B174" s="9">
        <v>0</v>
      </c>
      <c r="C174" s="9">
        <v>20237.580000000002</v>
      </c>
      <c r="D174" s="9">
        <v>20237.580000000002</v>
      </c>
    </row>
    <row r="175" spans="1:4" x14ac:dyDescent="0.25">
      <c r="A175" s="2" t="str">
        <f>"3.1.4.00.16- Outros serv. Prestados - PJ"</f>
        <v>3.1.4.00.16- Outros serv. Prestados - PJ</v>
      </c>
      <c r="B175" s="9">
        <v>0</v>
      </c>
      <c r="C175" s="9">
        <v>87964.28</v>
      </c>
      <c r="D175" s="9">
        <v>87964.28</v>
      </c>
    </row>
    <row r="176" spans="1:4" x14ac:dyDescent="0.25">
      <c r="A176" s="2" t="str">
        <f>"3.1.4.00.17- Servicos postais"</f>
        <v>3.1.4.00.17- Servicos postais</v>
      </c>
      <c r="B176" s="9">
        <v>0</v>
      </c>
      <c r="C176" s="9">
        <v>19264.34</v>
      </c>
      <c r="D176" s="9">
        <v>19264.34</v>
      </c>
    </row>
    <row r="177" spans="1:4" x14ac:dyDescent="0.25">
      <c r="A177" s="2" t="str">
        <f>"3.1.4.00.26- Serv.limp.conserv."</f>
        <v>3.1.4.00.26- Serv.limp.conserv.</v>
      </c>
      <c r="B177" s="9">
        <v>0</v>
      </c>
      <c r="C177" s="9">
        <v>269127.21999999997</v>
      </c>
      <c r="D177" s="9">
        <v>269127.21999999997</v>
      </c>
    </row>
    <row r="178" spans="1:4" x14ac:dyDescent="0.25">
      <c r="A178" s="2" t="str">
        <f>"3.1.4.00.33- Vale Ref./Al.terceir."</f>
        <v>3.1.4.00.33- Vale Ref./Al.terceir.</v>
      </c>
      <c r="B178" s="9">
        <v>0</v>
      </c>
      <c r="C178" s="9">
        <v>104387.52</v>
      </c>
      <c r="D178" s="9">
        <v>104387.52</v>
      </c>
    </row>
    <row r="179" spans="1:4" x14ac:dyDescent="0.25">
      <c r="A179" s="2" t="str">
        <f>"3.1.5.00.00- TARIFAS PUBLICAS"</f>
        <v>3.1.5.00.00- TARIFAS PUBLICAS</v>
      </c>
      <c r="B179" s="9">
        <v>0</v>
      </c>
      <c r="C179" s="9">
        <v>49291.55</v>
      </c>
      <c r="D179" s="9">
        <v>49291.55</v>
      </c>
    </row>
    <row r="180" spans="1:4" x14ac:dyDescent="0.25">
      <c r="A180" s="2" t="str">
        <f>"3.1.5.00.02- Energia eletrica"</f>
        <v>3.1.5.00.02- Energia eletrica</v>
      </c>
      <c r="B180" s="9">
        <v>0</v>
      </c>
      <c r="C180" s="9">
        <v>1699.12</v>
      </c>
      <c r="D180" s="9">
        <v>1699.12</v>
      </c>
    </row>
    <row r="181" spans="1:4" x14ac:dyDescent="0.25">
      <c r="A181" s="2" t="str">
        <f>"3.1.5.00.03- Telefone"</f>
        <v>3.1.5.00.03- Telefone</v>
      </c>
      <c r="B181" s="9">
        <v>0</v>
      </c>
      <c r="C181" s="9">
        <v>47592.43</v>
      </c>
      <c r="D181" s="9">
        <v>47592.43</v>
      </c>
    </row>
    <row r="182" spans="1:4" x14ac:dyDescent="0.25">
      <c r="A182" s="2" t="str">
        <f>"3.1.6.00.00- DESPESAS TRIBUTARIAS"</f>
        <v>3.1.6.00.00- DESPESAS TRIBUTARIAS</v>
      </c>
      <c r="B182" s="9">
        <v>0</v>
      </c>
      <c r="C182" s="9">
        <v>261302.84</v>
      </c>
      <c r="D182" s="9">
        <v>261302.84</v>
      </c>
    </row>
    <row r="183" spans="1:4" x14ac:dyDescent="0.25">
      <c r="A183" s="2" t="str">
        <f>"3.1.6.00.01- Taxas legais"</f>
        <v>3.1.6.00.01- Taxas legais</v>
      </c>
      <c r="B183" s="9">
        <v>0</v>
      </c>
      <c r="C183" s="9">
        <v>21.8</v>
      </c>
      <c r="D183" s="9">
        <v>21.8</v>
      </c>
    </row>
    <row r="184" spans="1:4" x14ac:dyDescent="0.25">
      <c r="A184" s="2" t="str">
        <f>"3.1.6.00.03- IOF"</f>
        <v>3.1.6.00.03- IOF</v>
      </c>
      <c r="B184" s="9">
        <v>0</v>
      </c>
      <c r="C184" s="9">
        <v>3177.56</v>
      </c>
      <c r="D184" s="9">
        <v>3177.56</v>
      </c>
    </row>
    <row r="185" spans="1:4" x14ac:dyDescent="0.25">
      <c r="A185" s="2" t="str">
        <f>"3.1.6.00.06- PIS"</f>
        <v>3.1.6.00.06- PIS</v>
      </c>
      <c r="B185" s="9">
        <v>0</v>
      </c>
      <c r="C185" s="9">
        <v>42728.25</v>
      </c>
      <c r="D185" s="9">
        <v>42728.25</v>
      </c>
    </row>
    <row r="186" spans="1:4" x14ac:dyDescent="0.25">
      <c r="A186" s="2" t="str">
        <f>"3.1.6.00.07- COFINS"</f>
        <v>3.1.6.00.07- COFINS</v>
      </c>
      <c r="B186" s="9">
        <v>0</v>
      </c>
      <c r="C186" s="9">
        <v>196808.91</v>
      </c>
      <c r="D186" s="9">
        <v>196808.91</v>
      </c>
    </row>
    <row r="187" spans="1:4" x14ac:dyDescent="0.25">
      <c r="A187" s="2" t="str">
        <f>"3.1.6.00.14- Contrib.entid.classe"</f>
        <v>3.1.6.00.14- Contrib.entid.classe</v>
      </c>
      <c r="B187" s="9">
        <v>0</v>
      </c>
      <c r="C187" s="9">
        <v>4816.71</v>
      </c>
      <c r="D187" s="9">
        <v>4816.71</v>
      </c>
    </row>
    <row r="188" spans="1:4" x14ac:dyDescent="0.25">
      <c r="A188" s="2" t="str">
        <f>"3.1.6.00.15- INSS Serv.terceiros"</f>
        <v>3.1.6.00.15- INSS Serv.terceiros</v>
      </c>
      <c r="B188" s="9">
        <v>0</v>
      </c>
      <c r="C188" s="9">
        <v>4047.59</v>
      </c>
      <c r="D188" s="9">
        <v>4047.59</v>
      </c>
    </row>
    <row r="189" spans="1:4" x14ac:dyDescent="0.25">
      <c r="A189" s="2" t="str">
        <f>"3.1.6.00.17- PIS s/ receitas financeiras"</f>
        <v>3.1.6.00.17- PIS s/ receitas financeiras</v>
      </c>
      <c r="B189" s="9">
        <v>0</v>
      </c>
      <c r="C189" s="9">
        <v>1356.2</v>
      </c>
      <c r="D189" s="9">
        <v>1356.2</v>
      </c>
    </row>
    <row r="190" spans="1:4" x14ac:dyDescent="0.25">
      <c r="A190" s="2" t="str">
        <f>"3.1.6.00.18- Cofins s/ receitas financeiras"</f>
        <v>3.1.6.00.18- Cofins s/ receitas financeiras</v>
      </c>
      <c r="B190" s="9">
        <v>0</v>
      </c>
      <c r="C190" s="9">
        <v>8345.82</v>
      </c>
      <c r="D190" s="9">
        <v>8345.82</v>
      </c>
    </row>
    <row r="191" spans="1:4" x14ac:dyDescent="0.25">
      <c r="A191" s="2" t="str">
        <f>"3.1.7.00.00- DESPESAS FINANCEIRAS"</f>
        <v>3.1.7.00.00- DESPESAS FINANCEIRAS</v>
      </c>
      <c r="B191" s="9">
        <v>0</v>
      </c>
      <c r="C191" s="9">
        <v>105.03</v>
      </c>
      <c r="D191" s="9">
        <v>105.03</v>
      </c>
    </row>
    <row r="192" spans="1:4" x14ac:dyDescent="0.25">
      <c r="A192" s="2" t="str">
        <f>"3.1.7.01.02- Despesas bancarias"</f>
        <v>3.1.7.01.02- Despesas bancarias</v>
      </c>
      <c r="B192" s="9">
        <v>0</v>
      </c>
      <c r="C192" s="9">
        <v>105.03</v>
      </c>
      <c r="D192" s="9">
        <v>105.03</v>
      </c>
    </row>
    <row r="193" spans="1:4" x14ac:dyDescent="0.25">
      <c r="A193" s="2" t="str">
        <f>"3.1.8.00.00- OUTRAS DESPESAS"</f>
        <v>3.1.8.00.00- OUTRAS DESPESAS</v>
      </c>
      <c r="B193" s="9">
        <v>0</v>
      </c>
      <c r="C193" s="9">
        <v>379236.75</v>
      </c>
      <c r="D193" s="9">
        <v>379236.75</v>
      </c>
    </row>
    <row r="194" spans="1:4" x14ac:dyDescent="0.25">
      <c r="A194" s="2" t="str">
        <f>"3.1.8.00.01- Despesas de viagem"</f>
        <v>3.1.8.00.01- Despesas de viagem</v>
      </c>
      <c r="B194" s="9">
        <v>0</v>
      </c>
      <c r="C194" s="9">
        <v>3791.97</v>
      </c>
      <c r="D194" s="9">
        <v>3791.97</v>
      </c>
    </row>
    <row r="195" spans="1:4" x14ac:dyDescent="0.25">
      <c r="A195" s="2" t="str">
        <f>"3.1.8.00.05- Depreciacao/amort"</f>
        <v>3.1.8.00.05- Depreciacao/amort</v>
      </c>
      <c r="B195" s="9">
        <v>0</v>
      </c>
      <c r="C195" s="9">
        <v>25207.200000000001</v>
      </c>
      <c r="D195" s="9">
        <v>25207.200000000001</v>
      </c>
    </row>
    <row r="196" spans="1:4" x14ac:dyDescent="0.25">
      <c r="A196" s="2" t="str">
        <f>"3.1.8.00.06- Seguros bens moveis e imoveis"</f>
        <v>3.1.8.00.06- Seguros bens moveis e imoveis</v>
      </c>
      <c r="B196" s="9">
        <v>0</v>
      </c>
      <c r="C196" s="9">
        <v>2327.13</v>
      </c>
      <c r="D196" s="9">
        <v>2327.13</v>
      </c>
    </row>
    <row r="197" spans="1:4" x14ac:dyDescent="0.25">
      <c r="A197" s="2" t="str">
        <f>"3.1.8.00.23- Custas/Despesas Judiciais"</f>
        <v>3.1.8.00.23- Custas/Despesas Judiciais</v>
      </c>
      <c r="B197" s="9">
        <v>0</v>
      </c>
      <c r="C197" s="9">
        <v>1936.7</v>
      </c>
      <c r="D197" s="9">
        <v>1936.7</v>
      </c>
    </row>
    <row r="198" spans="1:4" x14ac:dyDescent="0.25">
      <c r="A198" s="2" t="str">
        <f>"3.1.8.00.30- Estacionamento Rotativo Digital"</f>
        <v>3.1.8.00.30- Estacionamento Rotativo Digital</v>
      </c>
      <c r="B198" s="9">
        <v>0</v>
      </c>
      <c r="C198" s="9">
        <v>342973.75</v>
      </c>
      <c r="D198" s="9">
        <v>342973.75</v>
      </c>
    </row>
    <row r="199" spans="1:4" x14ac:dyDescent="0.25">
      <c r="A199" s="2" t="str">
        <f>"3.1.8.00.99- Despesas diversas"</f>
        <v>3.1.8.00.99- Despesas diversas</v>
      </c>
      <c r="B199" s="9">
        <v>0</v>
      </c>
      <c r="C199" s="9">
        <v>3000</v>
      </c>
      <c r="D199" s="9">
        <v>3000</v>
      </c>
    </row>
    <row r="200" spans="1:4" x14ac:dyDescent="0.25">
      <c r="A200" s="2" t="str">
        <f>""</f>
        <v/>
      </c>
      <c r="B200" s="3" t="str">
        <f>""</f>
        <v/>
      </c>
      <c r="C200" s="3" t="str">
        <f>""</f>
        <v/>
      </c>
      <c r="D200" s="3" t="str">
        <f>""</f>
        <v/>
      </c>
    </row>
    <row r="201" spans="1:4" x14ac:dyDescent="0.25">
      <c r="A201" s="2" t="str">
        <f>"RECEITAS"</f>
        <v>RECEITAS</v>
      </c>
      <c r="B201" s="3" t="str">
        <f>""</f>
        <v/>
      </c>
      <c r="C201" s="3" t="str">
        <f>""</f>
        <v/>
      </c>
      <c r="D201" s="3" t="str">
        <f>""</f>
        <v/>
      </c>
    </row>
    <row r="202" spans="1:4" x14ac:dyDescent="0.25">
      <c r="A202" s="2" t="str">
        <f>"4.0.0.00.00- RECEITAS"</f>
        <v>4.0.0.00.00- RECEITAS</v>
      </c>
      <c r="B202" s="9">
        <v>0</v>
      </c>
      <c r="C202" s="9">
        <v>20200066.48</v>
      </c>
      <c r="D202" s="9">
        <v>20200066.48</v>
      </c>
    </row>
    <row r="203" spans="1:4" x14ac:dyDescent="0.25">
      <c r="A203" s="2" t="str">
        <f>"4.1.0.00.00- RECEITAS BHTRANS"</f>
        <v>4.1.0.00.00- RECEITAS BHTRANS</v>
      </c>
      <c r="B203" s="9">
        <v>0</v>
      </c>
      <c r="C203" s="9">
        <v>2520643.86</v>
      </c>
      <c r="D203" s="9">
        <v>2520643.86</v>
      </c>
    </row>
    <row r="204" spans="1:4" x14ac:dyDescent="0.25">
      <c r="A204" s="2" t="str">
        <f>"4.1.1.00.00- RECEITAS OPERACIONAIS"</f>
        <v>4.1.1.00.00- RECEITAS OPERACIONAIS</v>
      </c>
      <c r="B204" s="9">
        <v>0</v>
      </c>
      <c r="C204" s="9">
        <v>2326500</v>
      </c>
      <c r="D204" s="9">
        <v>2326500</v>
      </c>
    </row>
    <row r="205" spans="1:4" x14ac:dyDescent="0.25">
      <c r="A205" s="2" t="str">
        <f>"4.1.1.00.21- Estacionamento Rotativo Digital"</f>
        <v>4.1.1.00.21- Estacionamento Rotativo Digital</v>
      </c>
      <c r="B205" s="9">
        <v>0</v>
      </c>
      <c r="C205" s="9">
        <v>2326500</v>
      </c>
      <c r="D205" s="9">
        <v>2326500</v>
      </c>
    </row>
    <row r="206" spans="1:4" x14ac:dyDescent="0.25">
      <c r="A206" s="2" t="str">
        <f>"4.1.8.00.00- RECEITAS ALUGUEIS ESTACOES"</f>
        <v>4.1.8.00.00- RECEITAS ALUGUEIS ESTACOES</v>
      </c>
      <c r="B206" s="9">
        <v>0</v>
      </c>
      <c r="C206" s="9">
        <v>194143.86</v>
      </c>
      <c r="D206" s="9">
        <v>194143.86</v>
      </c>
    </row>
    <row r="207" spans="1:4" x14ac:dyDescent="0.25">
      <c r="A207" s="2" t="str">
        <f>"4.1.8.00.01- Alugueis Estacoes"</f>
        <v>4.1.8.00.01- Alugueis Estacoes</v>
      </c>
      <c r="B207" s="9">
        <v>0</v>
      </c>
      <c r="C207" s="9">
        <v>194143.86</v>
      </c>
      <c r="D207" s="9">
        <v>194143.86</v>
      </c>
    </row>
    <row r="208" spans="1:4" x14ac:dyDescent="0.25">
      <c r="A208" s="2" t="str">
        <f>"4.2.0.00.00- RECEITAS FINANCEIRAS"</f>
        <v>4.2.0.00.00- RECEITAS FINANCEIRAS</v>
      </c>
      <c r="B208" s="9">
        <v>0</v>
      </c>
      <c r="C208" s="9">
        <v>208645.45</v>
      </c>
      <c r="D208" s="9">
        <v>208645.45</v>
      </c>
    </row>
    <row r="209" spans="1:4" x14ac:dyDescent="0.25">
      <c r="A209" s="2" t="str">
        <f>"4.2.1.00.00- RECEITAS FINANCEIRAS"</f>
        <v>4.2.1.00.00- RECEITAS FINANCEIRAS</v>
      </c>
      <c r="B209" s="9">
        <v>0</v>
      </c>
      <c r="C209" s="9">
        <v>208645.45</v>
      </c>
      <c r="D209" s="9">
        <v>208645.45</v>
      </c>
    </row>
    <row r="210" spans="1:4" x14ac:dyDescent="0.25">
      <c r="A210" s="2" t="str">
        <f>"4.2.1.00.01- Rendimentos aplic. Financeira"</f>
        <v>4.2.1.00.01- Rendimentos aplic. Financeira</v>
      </c>
      <c r="B210" s="9">
        <v>0</v>
      </c>
      <c r="C210" s="9">
        <v>208645.45</v>
      </c>
      <c r="D210" s="9">
        <v>208645.45</v>
      </c>
    </row>
    <row r="211" spans="1:4" x14ac:dyDescent="0.25">
      <c r="A211" s="2" t="str">
        <f>"4.3.0.00.00- OUTRAS RECEITAS"</f>
        <v>4.3.0.00.00- OUTRAS RECEITAS</v>
      </c>
      <c r="B211" s="9">
        <v>0</v>
      </c>
      <c r="C211" s="9">
        <v>17470777.170000002</v>
      </c>
      <c r="D211" s="9">
        <v>17470777.170000002</v>
      </c>
    </row>
    <row r="212" spans="1:4" x14ac:dyDescent="0.25">
      <c r="A212" s="2" t="str">
        <f>"4.3.1.00.00- OUTRAS RECEITAS"</f>
        <v>4.3.1.00.00- OUTRAS RECEITAS</v>
      </c>
      <c r="B212" s="9">
        <v>0</v>
      </c>
      <c r="C212" s="9">
        <v>17470777.170000002</v>
      </c>
      <c r="D212" s="9">
        <v>17470777.170000002</v>
      </c>
    </row>
    <row r="213" spans="1:4" x14ac:dyDescent="0.25">
      <c r="A213" s="2" t="str">
        <f>"4.3.1.00.04- Receitas Diversas"</f>
        <v>4.3.1.00.04- Receitas Diversas</v>
      </c>
      <c r="B213" s="9">
        <v>0</v>
      </c>
      <c r="C213" s="9">
        <v>68947</v>
      </c>
      <c r="D213" s="9">
        <v>68947</v>
      </c>
    </row>
    <row r="214" spans="1:4" x14ac:dyDescent="0.25">
      <c r="A214" s="2" t="str">
        <f>"4.3.1.00.10- Outras Receitas- Subvenção Econ. Custeio"</f>
        <v>4.3.1.00.10- Outras Receitas- Subvenção Econ. Custeio</v>
      </c>
      <c r="B214" s="9">
        <v>0</v>
      </c>
      <c r="C214" s="9">
        <v>17401830.170000002</v>
      </c>
      <c r="D214" s="9">
        <v>17401830.170000002</v>
      </c>
    </row>
    <row r="215" spans="1:4" x14ac:dyDescent="0.25">
      <c r="A215" s="2" t="str">
        <f>""</f>
        <v/>
      </c>
      <c r="B215" s="3" t="str">
        <f>""</f>
        <v/>
      </c>
      <c r="C215" s="3" t="str">
        <f>""</f>
        <v/>
      </c>
      <c r="D215" s="3" t="str">
        <f>""</f>
        <v/>
      </c>
    </row>
    <row r="216" spans="1:4" x14ac:dyDescent="0.25">
      <c r="A216" s="2" t="str">
        <f>"APURACAO DE RESULTADOS"</f>
        <v>APURACAO DE RESULTADOS</v>
      </c>
      <c r="B216" s="3" t="str">
        <f>""</f>
        <v/>
      </c>
      <c r="C216" s="3" t="str">
        <f>""</f>
        <v/>
      </c>
      <c r="D216" s="3" t="str">
        <f>""</f>
        <v/>
      </c>
    </row>
    <row r="217" spans="1:4" x14ac:dyDescent="0.25">
      <c r="A217" s="2" t="str">
        <f>"5.0.0.00.00- APURACAO DE RESULTADOS"</f>
        <v>5.0.0.00.00- APURACAO DE RESULTADOS</v>
      </c>
      <c r="B217" s="9">
        <v>0</v>
      </c>
      <c r="C217" s="9">
        <v>-2985351.56</v>
      </c>
      <c r="D217" s="9">
        <v>-2985351.56</v>
      </c>
    </row>
    <row r="218" spans="1:4" x14ac:dyDescent="0.25">
      <c r="A218" s="2" t="str">
        <f>"5.1.0.00.00- APURACAO DE RESULTADOS"</f>
        <v>5.1.0.00.00- APURACAO DE RESULTADOS</v>
      </c>
      <c r="B218" s="9">
        <v>0</v>
      </c>
      <c r="C218" s="9">
        <v>-2985351.56</v>
      </c>
      <c r="D218" s="9">
        <v>-2985351.56</v>
      </c>
    </row>
    <row r="219" spans="1:4" x14ac:dyDescent="0.25">
      <c r="A219" s="2" t="str">
        <f>"5.1.1.00.00- APURACAO DE RESULTADOS"</f>
        <v>5.1.1.00.00- APURACAO DE RESULTADOS</v>
      </c>
      <c r="B219" s="9">
        <v>0</v>
      </c>
      <c r="C219" s="9">
        <v>-2985351.56</v>
      </c>
      <c r="D219" s="9">
        <v>-2985351.56</v>
      </c>
    </row>
    <row r="220" spans="1:4" x14ac:dyDescent="0.25">
      <c r="A220" s="2" t="str">
        <f>"5.1.1.00.01- Transferencia das Despesas"</f>
        <v>5.1.1.00.01- Transferencia das Despesas</v>
      </c>
      <c r="B220" s="9">
        <v>0</v>
      </c>
      <c r="C220" s="9">
        <v>-23185418.039999999</v>
      </c>
      <c r="D220" s="9">
        <v>-23185418.039999999</v>
      </c>
    </row>
    <row r="221" spans="1:4" ht="15.75" thickBot="1" x14ac:dyDescent="0.3">
      <c r="A221" s="4" t="str">
        <f>"5.1.1.00.02- Transferencia das Receitas"</f>
        <v>5.1.1.00.02- Transferencia das Receitas</v>
      </c>
      <c r="B221" s="10">
        <v>0</v>
      </c>
      <c r="C221" s="10">
        <v>20200066.48</v>
      </c>
      <c r="D221" s="10">
        <v>20200066.48</v>
      </c>
    </row>
    <row r="222" spans="1:4" x14ac:dyDescent="0.25">
      <c r="A222" t="s">
        <v>4</v>
      </c>
    </row>
  </sheetData>
  <pageMargins left="0.78740157499999996" right="0.78740157499999996" top="0.984251969" bottom="0.984251969" header="0.4921259845" footer="0.49212598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9E3C4-9700-4653-9D56-51B82E6D4C2D}">
  <dimension ref="A1:D223"/>
  <sheetViews>
    <sheetView workbookViewId="0">
      <selection activeCell="A216" sqref="A216:XFD238"/>
    </sheetView>
  </sheetViews>
  <sheetFormatPr defaultRowHeight="15" x14ac:dyDescent="0.25"/>
  <cols>
    <col min="1" max="1" width="71.5703125" bestFit="1" customWidth="1"/>
    <col min="2" max="2" width="14.5703125" bestFit="1" customWidth="1"/>
    <col min="3" max="3" width="14.28515625" bestFit="1" customWidth="1"/>
    <col min="4" max="4" width="14.5703125" bestFit="1" customWidth="1"/>
  </cols>
  <sheetData>
    <row r="1" spans="1:4" ht="19.5" thickBot="1" x14ac:dyDescent="0.35">
      <c r="A1" s="1" t="s">
        <v>6</v>
      </c>
      <c r="B1" s="1"/>
      <c r="C1" s="1"/>
      <c r="D1" s="1"/>
    </row>
    <row r="2" spans="1:4" ht="15.75" thickBot="1" x14ac:dyDescent="0.3">
      <c r="A2" s="7" t="s">
        <v>0</v>
      </c>
      <c r="B2" s="8" t="s">
        <v>1</v>
      </c>
      <c r="C2" s="8" t="s">
        <v>2</v>
      </c>
      <c r="D2" s="8" t="s">
        <v>3</v>
      </c>
    </row>
    <row r="3" spans="1:4" x14ac:dyDescent="0.25">
      <c r="A3" s="5" t="str">
        <f>"ATIVO"</f>
        <v>ATIVO</v>
      </c>
      <c r="B3" s="6" t="str">
        <f>""</f>
        <v/>
      </c>
      <c r="C3" s="6" t="str">
        <f>""</f>
        <v/>
      </c>
      <c r="D3" s="6" t="str">
        <f>""</f>
        <v/>
      </c>
    </row>
    <row r="4" spans="1:4" x14ac:dyDescent="0.25">
      <c r="A4" s="2" t="str">
        <f>"1.0.0.00.00- ATIVO"</f>
        <v>1.0.0.00.00- ATIVO</v>
      </c>
      <c r="B4" s="9">
        <v>58978069.409999996</v>
      </c>
      <c r="C4" s="9">
        <v>1296198.27</v>
      </c>
      <c r="D4" s="9">
        <v>60274267.68</v>
      </c>
    </row>
    <row r="5" spans="1:4" x14ac:dyDescent="0.25">
      <c r="A5" s="2" t="str">
        <f>"1.1.0.00.00- ATIVO CIRCULANTE"</f>
        <v>1.1.0.00.00- ATIVO CIRCULANTE</v>
      </c>
      <c r="B5" s="9">
        <v>25475089.600000001</v>
      </c>
      <c r="C5" s="9">
        <v>902357.77</v>
      </c>
      <c r="D5" s="9">
        <v>26377447.370000001</v>
      </c>
    </row>
    <row r="6" spans="1:4" x14ac:dyDescent="0.25">
      <c r="A6" s="2" t="str">
        <f>"1.1.1.00.00- DISPONIVEL"</f>
        <v>1.1.1.00.00- DISPONIVEL</v>
      </c>
      <c r="B6" s="9">
        <v>17947145.829999998</v>
      </c>
      <c r="C6" s="9">
        <v>566588.64</v>
      </c>
      <c r="D6" s="9">
        <v>18513734.469999999</v>
      </c>
    </row>
    <row r="7" spans="1:4" x14ac:dyDescent="0.25">
      <c r="A7" s="2" t="str">
        <f>"1.1.1.03.00- APLICACOES FINANCEIRAS"</f>
        <v>1.1.1.03.00- APLICACOES FINANCEIRAS</v>
      </c>
      <c r="B7" s="9">
        <v>16252344.560000001</v>
      </c>
      <c r="C7" s="9">
        <v>550323.89</v>
      </c>
      <c r="D7" s="9">
        <v>16802668.449999999</v>
      </c>
    </row>
    <row r="8" spans="1:4" x14ac:dyDescent="0.25">
      <c r="A8" s="2" t="str">
        <f>"1.1.1.03.22- Caixa Econômica Federal - 94505-1"</f>
        <v>1.1.1.03.22- Caixa Econômica Federal - 94505-1</v>
      </c>
      <c r="B8" s="9">
        <v>1886798.06</v>
      </c>
      <c r="C8" s="9">
        <v>-952634.74</v>
      </c>
      <c r="D8" s="9">
        <v>934163.32</v>
      </c>
    </row>
    <row r="9" spans="1:4" x14ac:dyDescent="0.25">
      <c r="A9" s="2" t="str">
        <f>"1.1.1.03.23- Caixa Econômica Federal - 94506-0"</f>
        <v>1.1.1.03.23- Caixa Econômica Federal - 94506-0</v>
      </c>
      <c r="B9" s="9">
        <v>14347299.15</v>
      </c>
      <c r="C9" s="9">
        <v>1515989</v>
      </c>
      <c r="D9" s="9">
        <v>15863288.15</v>
      </c>
    </row>
    <row r="10" spans="1:4" x14ac:dyDescent="0.25">
      <c r="A10" s="2" t="str">
        <f>"1.1.1.03.36- Caixa Econômica Federal - 94528-0 Sucumb"</f>
        <v>1.1.1.03.36- Caixa Econômica Federal - 94528-0 Sucumb</v>
      </c>
      <c r="B10" s="9">
        <v>4906.5600000000004</v>
      </c>
      <c r="C10" s="9">
        <v>310.42</v>
      </c>
      <c r="D10" s="9">
        <v>5216.9799999999996</v>
      </c>
    </row>
    <row r="11" spans="1:4" x14ac:dyDescent="0.25">
      <c r="A11" s="2" t="str">
        <f>"1.1.1.03.49- Caixa Econômica Federal - 744797076-0"</f>
        <v>1.1.1.03.49- Caixa Econômica Federal - 744797076-0</v>
      </c>
      <c r="B11" s="9">
        <v>13340.79</v>
      </c>
      <c r="C11" s="9">
        <v>-13340.79</v>
      </c>
      <c r="D11" s="9">
        <v>0</v>
      </c>
    </row>
    <row r="12" spans="1:4" x14ac:dyDescent="0.25">
      <c r="A12" s="2" t="str">
        <f>"1.1.1.04.00- BANCOS C/VINCULADA"</f>
        <v>1.1.1.04.00- BANCOS C/VINCULADA</v>
      </c>
      <c r="B12" s="9">
        <v>1694801.27</v>
      </c>
      <c r="C12" s="9">
        <v>16264.75</v>
      </c>
      <c r="D12" s="9">
        <v>1711066.02</v>
      </c>
    </row>
    <row r="13" spans="1:4" x14ac:dyDescent="0.25">
      <c r="A13" s="2" t="str">
        <f>"1.1.1.04.10- Caixa Econômica Federal - 94521-3 Caução"</f>
        <v>1.1.1.04.10- Caixa Econômica Federal - 94521-3 Caução</v>
      </c>
      <c r="B13" s="9">
        <v>119607.95</v>
      </c>
      <c r="C13" s="9">
        <v>1126.55</v>
      </c>
      <c r="D13" s="9">
        <v>120734.5</v>
      </c>
    </row>
    <row r="14" spans="1:4" x14ac:dyDescent="0.25">
      <c r="A14" s="2" t="str">
        <f>"1.1.1.04.12- Caixa Econômica Federal - 94627-9 Leilão"</f>
        <v>1.1.1.04.12- Caixa Econômica Federal - 94627-9 Leilão</v>
      </c>
      <c r="B14" s="9">
        <v>1575193.32</v>
      </c>
      <c r="C14" s="9">
        <v>15138.2</v>
      </c>
      <c r="D14" s="9">
        <v>1590331.52</v>
      </c>
    </row>
    <row r="15" spans="1:4" x14ac:dyDescent="0.25">
      <c r="A15" s="2" t="str">
        <f>"1.1.2.00.00- REALIZAVEL A CURTO PRAZO"</f>
        <v>1.1.2.00.00- REALIZAVEL A CURTO PRAZO</v>
      </c>
      <c r="B15" s="9">
        <v>7527943.7699999996</v>
      </c>
      <c r="C15" s="9">
        <v>335769.13</v>
      </c>
      <c r="D15" s="9">
        <v>7863712.9000000004</v>
      </c>
    </row>
    <row r="16" spans="1:4" x14ac:dyDescent="0.25">
      <c r="A16" s="2" t="str">
        <f>"1.1.2.01.00- CONTAS A RECEBER"</f>
        <v>1.1.2.01.00- CONTAS A RECEBER</v>
      </c>
      <c r="B16" s="9">
        <v>253567.34</v>
      </c>
      <c r="C16" s="9">
        <v>0</v>
      </c>
      <c r="D16" s="9">
        <v>253567.34</v>
      </c>
    </row>
    <row r="17" spans="1:4" x14ac:dyDescent="0.25">
      <c r="A17" s="2" t="str">
        <f>"1.1.2.01.94- Midia Onibus a Receber"</f>
        <v>1.1.2.01.94- Midia Onibus a Receber</v>
      </c>
      <c r="B17" s="9">
        <v>253567.34</v>
      </c>
      <c r="C17" s="9">
        <v>0</v>
      </c>
      <c r="D17" s="9">
        <v>253567.34</v>
      </c>
    </row>
    <row r="18" spans="1:4" x14ac:dyDescent="0.25">
      <c r="A18" s="2" t="str">
        <f>"1.1.2.04.00- CONVÊNIOS A RECEBER"</f>
        <v>1.1.2.04.00- CONVÊNIOS A RECEBER</v>
      </c>
      <c r="B18" s="9">
        <v>13218.5</v>
      </c>
      <c r="C18" s="9">
        <v>106951.48</v>
      </c>
      <c r="D18" s="9">
        <v>120169.98</v>
      </c>
    </row>
    <row r="19" spans="1:4" x14ac:dyDescent="0.25">
      <c r="A19" s="2" t="str">
        <f>"1.1.2.04.99- Convenios cedidos a receber"</f>
        <v>1.1.2.04.99- Convenios cedidos a receber</v>
      </c>
      <c r="B19" s="9">
        <v>13218.5</v>
      </c>
      <c r="C19" s="9">
        <v>106951.48</v>
      </c>
      <c r="D19" s="9">
        <v>120169.98</v>
      </c>
    </row>
    <row r="20" spans="1:4" x14ac:dyDescent="0.25">
      <c r="A20" s="2" t="str">
        <f>"1.1.2.06.00- ADIANTAMENTO A EMPREGADOS"</f>
        <v>1.1.2.06.00- ADIANTAMENTO A EMPREGADOS</v>
      </c>
      <c r="B20" s="9">
        <v>1827589.14</v>
      </c>
      <c r="C20" s="9">
        <v>754583.2</v>
      </c>
      <c r="D20" s="9">
        <v>2582172.34</v>
      </c>
    </row>
    <row r="21" spans="1:4" x14ac:dyDescent="0.25">
      <c r="A21" s="2" t="str">
        <f>"1.1.2.06.01- Adiantamento de Ferias"</f>
        <v>1.1.2.06.01- Adiantamento de Ferias</v>
      </c>
      <c r="B21" s="9">
        <v>712542.36</v>
      </c>
      <c r="C21" s="9">
        <v>616472.06000000006</v>
      </c>
      <c r="D21" s="9">
        <v>1329014.42</v>
      </c>
    </row>
    <row r="22" spans="1:4" x14ac:dyDescent="0.25">
      <c r="A22" s="2" t="str">
        <f>"1.1.2.06.02- Adiantamento de 13. Salario"</f>
        <v>1.1.2.06.02- Adiantamento de 13. Salario</v>
      </c>
      <c r="B22" s="9">
        <v>1014792.36</v>
      </c>
      <c r="C22" s="9">
        <v>151533.32999999999</v>
      </c>
      <c r="D22" s="9">
        <v>1166325.69</v>
      </c>
    </row>
    <row r="23" spans="1:4" x14ac:dyDescent="0.25">
      <c r="A23" s="2" t="str">
        <f>"1.1.2.06.03- Adiant. de Salario/Parc. Ferias"</f>
        <v>1.1.2.06.03- Adiant. de Salario/Parc. Ferias</v>
      </c>
      <c r="B23" s="9">
        <v>100162.25</v>
      </c>
      <c r="C23" s="9">
        <v>-26390.23</v>
      </c>
      <c r="D23" s="9">
        <v>73772.02</v>
      </c>
    </row>
    <row r="24" spans="1:4" x14ac:dyDescent="0.25">
      <c r="A24" s="2" t="str">
        <f>"1.1.2.06.07- Adiantamento Pensao s/ Ferias"</f>
        <v>1.1.2.06.07- Adiantamento Pensao s/ Ferias</v>
      </c>
      <c r="B24" s="9">
        <v>92.17</v>
      </c>
      <c r="C24" s="9">
        <v>12968.04</v>
      </c>
      <c r="D24" s="9">
        <v>13060.21</v>
      </c>
    </row>
    <row r="25" spans="1:4" x14ac:dyDescent="0.25">
      <c r="A25" s="2" t="str">
        <f>"1.1.2.08.00- ALMOXARIFADO"</f>
        <v>1.1.2.08.00- ALMOXARIFADO</v>
      </c>
      <c r="B25" s="9">
        <v>632770.18999999994</v>
      </c>
      <c r="C25" s="9">
        <v>-20298.189999999999</v>
      </c>
      <c r="D25" s="9">
        <v>612472</v>
      </c>
    </row>
    <row r="26" spans="1:4" x14ac:dyDescent="0.25">
      <c r="A26" s="2" t="str">
        <f>"1.1.2.08.01- Material em Estoque"</f>
        <v>1.1.2.08.01- Material em Estoque</v>
      </c>
      <c r="B26" s="9">
        <v>632770.18999999994</v>
      </c>
      <c r="C26" s="9">
        <v>-20298.189999999999</v>
      </c>
      <c r="D26" s="9">
        <v>612472</v>
      </c>
    </row>
    <row r="27" spans="1:4" x14ac:dyDescent="0.25">
      <c r="A27" s="2" t="str">
        <f>"1.1.2.10.00- IMPOSTOS E CONTRIB.A RECUPERAR"</f>
        <v>1.1.2.10.00- IMPOSTOS E CONTRIB.A RECUPERAR</v>
      </c>
      <c r="B27" s="9">
        <v>5053097</v>
      </c>
      <c r="C27" s="9">
        <v>195227.63</v>
      </c>
      <c r="D27" s="9">
        <v>5248324.63</v>
      </c>
    </row>
    <row r="28" spans="1:4" x14ac:dyDescent="0.25">
      <c r="A28" s="2" t="str">
        <f>"1.1.2.10.01- IR s/Aplicacao Financeira"</f>
        <v>1.1.2.10.01- IR s/Aplicacao Financeira</v>
      </c>
      <c r="B28" s="9">
        <v>478623.58</v>
      </c>
      <c r="C28" s="9">
        <v>28346.12</v>
      </c>
      <c r="D28" s="9">
        <v>506969.7</v>
      </c>
    </row>
    <row r="29" spans="1:4" x14ac:dyDescent="0.25">
      <c r="A29" s="2" t="str">
        <f>"1.1.2.10.15- Cofins a Compensar"</f>
        <v>1.1.2.10.15- Cofins a Compensar</v>
      </c>
      <c r="B29" s="9">
        <v>3743610.3</v>
      </c>
      <c r="C29" s="9">
        <v>136784.51999999999</v>
      </c>
      <c r="D29" s="9">
        <v>3880394.82</v>
      </c>
    </row>
    <row r="30" spans="1:4" x14ac:dyDescent="0.25">
      <c r="A30" s="2" t="str">
        <f>"1.1.2.10.16- PIS a Compensar"</f>
        <v>1.1.2.10.16- PIS a Compensar</v>
      </c>
      <c r="B30" s="9">
        <v>830863.12</v>
      </c>
      <c r="C30" s="9">
        <v>30096.99</v>
      </c>
      <c r="D30" s="9">
        <v>860960.11</v>
      </c>
    </row>
    <row r="31" spans="1:4" x14ac:dyDescent="0.25">
      <c r="A31" s="2" t="str">
        <f>"1.1.2.11.00- DESPESAS ANTECIPADAS"</f>
        <v>1.1.2.11.00- DESPESAS ANTECIPADAS</v>
      </c>
      <c r="B31" s="9">
        <v>10297.81</v>
      </c>
      <c r="C31" s="9">
        <v>-1300.01</v>
      </c>
      <c r="D31" s="9">
        <v>8997.7999999999993</v>
      </c>
    </row>
    <row r="32" spans="1:4" x14ac:dyDescent="0.25">
      <c r="A32" s="2" t="str">
        <f>"1.1.2.11.01- Premios de Seguros a Vencer"</f>
        <v>1.1.2.11.01- Premios de Seguros a Vencer</v>
      </c>
      <c r="B32" s="9">
        <v>10297.81</v>
      </c>
      <c r="C32" s="9">
        <v>-1300.01</v>
      </c>
      <c r="D32" s="9">
        <v>8997.7999999999993</v>
      </c>
    </row>
    <row r="33" spans="1:4" x14ac:dyDescent="0.25">
      <c r="A33" s="2" t="str">
        <f>"1.1.2.14.00- CONTAS TRANSITORIAS - GRUPO ATIVO"</f>
        <v>1.1.2.14.00- CONTAS TRANSITORIAS - GRUPO ATIVO</v>
      </c>
      <c r="B33" s="9">
        <v>-262596.21000000002</v>
      </c>
      <c r="C33" s="9">
        <v>-699394.98</v>
      </c>
      <c r="D33" s="9">
        <v>-961991.19</v>
      </c>
    </row>
    <row r="34" spans="1:4" x14ac:dyDescent="0.25">
      <c r="A34" s="2" t="str">
        <f>"1.1.2.14.07- Transitoria de Imposto"</f>
        <v>1.1.2.14.07- Transitoria de Imposto</v>
      </c>
      <c r="B34" s="9">
        <v>-262596.21000000002</v>
      </c>
      <c r="C34" s="9">
        <v>-699394.98</v>
      </c>
      <c r="D34" s="9">
        <v>-961991.19</v>
      </c>
    </row>
    <row r="35" spans="1:4" x14ac:dyDescent="0.25">
      <c r="A35" s="2" t="str">
        <f>"1.2.0.00.00- ATIVO NAO CIRCULANTE"</f>
        <v>1.2.0.00.00- ATIVO NAO CIRCULANTE</v>
      </c>
      <c r="B35" s="9">
        <v>33502979.809999999</v>
      </c>
      <c r="C35" s="9">
        <v>393840.5</v>
      </c>
      <c r="D35" s="9">
        <v>33896820.310000002</v>
      </c>
    </row>
    <row r="36" spans="1:4" x14ac:dyDescent="0.25">
      <c r="A36" s="2" t="str">
        <f>"1.2.1.00.00- REALIZAVEL A LONGO PRAZO"</f>
        <v>1.2.1.00.00- REALIZAVEL A LONGO PRAZO</v>
      </c>
      <c r="B36" s="9">
        <v>32485111.239999998</v>
      </c>
      <c r="C36" s="9">
        <v>419015.13</v>
      </c>
      <c r="D36" s="9">
        <v>32904126.370000001</v>
      </c>
    </row>
    <row r="37" spans="1:4" x14ac:dyDescent="0.25">
      <c r="A37" s="2" t="str">
        <f>"1.2.1.01.00- CREDITOS E VALORES A RECEBER"</f>
        <v>1.2.1.01.00- CREDITOS E VALORES A RECEBER</v>
      </c>
      <c r="B37" s="9">
        <v>32485111.239999998</v>
      </c>
      <c r="C37" s="9">
        <v>419015.13</v>
      </c>
      <c r="D37" s="9">
        <v>32904126.370000001</v>
      </c>
    </row>
    <row r="38" spans="1:4" x14ac:dyDescent="0.25">
      <c r="A38" s="2" t="str">
        <f>"1.2.1.01.01- Depositos Judiciais"</f>
        <v>1.2.1.01.01- Depositos Judiciais</v>
      </c>
      <c r="B38" s="9">
        <v>425640.71</v>
      </c>
      <c r="C38" s="9">
        <v>419015.13</v>
      </c>
      <c r="D38" s="9">
        <v>844655.84</v>
      </c>
    </row>
    <row r="39" spans="1:4" x14ac:dyDescent="0.25">
      <c r="A39" s="2" t="str">
        <f>"1.2.1.01.04- Convenio Prefeitura Betim"</f>
        <v>1.2.1.01.04- Convenio Prefeitura Betim</v>
      </c>
      <c r="B39" s="9">
        <v>891.18</v>
      </c>
      <c r="C39" s="9">
        <v>0</v>
      </c>
      <c r="D39" s="9">
        <v>891.18</v>
      </c>
    </row>
    <row r="40" spans="1:4" x14ac:dyDescent="0.25">
      <c r="A40" s="2" t="str">
        <f>"1.2.1.01.05- Convenio IPSEMG"</f>
        <v>1.2.1.01.05- Convenio IPSEMG</v>
      </c>
      <c r="B40" s="9">
        <v>21163.53</v>
      </c>
      <c r="C40" s="9">
        <v>0</v>
      </c>
      <c r="D40" s="9">
        <v>21163.53</v>
      </c>
    </row>
    <row r="41" spans="1:4" x14ac:dyDescent="0.25">
      <c r="A41" s="2" t="str">
        <f>"1.2.1.01.06- Multas Transporte Coletivo"</f>
        <v>1.2.1.01.06- Multas Transporte Coletivo</v>
      </c>
      <c r="B41" s="9">
        <v>40046769.780000001</v>
      </c>
      <c r="C41" s="9">
        <v>0</v>
      </c>
      <c r="D41" s="9">
        <v>40046769.780000001</v>
      </c>
    </row>
    <row r="42" spans="1:4" x14ac:dyDescent="0.25">
      <c r="A42" s="2" t="str">
        <f>"1.2.1.01.07- (-) Provisao para Perdas"</f>
        <v>1.2.1.01.07- (-) Provisao para Perdas</v>
      </c>
      <c r="B42" s="9">
        <v>-8009353.96</v>
      </c>
      <c r="C42" s="9">
        <v>0</v>
      </c>
      <c r="D42" s="9">
        <v>-8009353.96</v>
      </c>
    </row>
    <row r="43" spans="1:4" x14ac:dyDescent="0.25">
      <c r="A43" s="2" t="str">
        <f>"1.3.1.00.00- INVESTIMENTOS"</f>
        <v>1.3.1.00.00- INVESTIMENTOS</v>
      </c>
      <c r="B43" s="9">
        <v>26061.01</v>
      </c>
      <c r="C43" s="9">
        <v>0</v>
      </c>
      <c r="D43" s="9">
        <v>26061.01</v>
      </c>
    </row>
    <row r="44" spans="1:4" x14ac:dyDescent="0.25">
      <c r="A44" s="2" t="str">
        <f>"1.3.1.01.00- OUTROS INVESTIMENTOS"</f>
        <v>1.3.1.01.00- OUTROS INVESTIMENTOS</v>
      </c>
      <c r="B44" s="9">
        <v>26061.01</v>
      </c>
      <c r="C44" s="9">
        <v>0</v>
      </c>
      <c r="D44" s="9">
        <v>26061.01</v>
      </c>
    </row>
    <row r="45" spans="1:4" x14ac:dyDescent="0.25">
      <c r="A45" s="2" t="str">
        <f>"1.3.1.01.01- Obras de Arte"</f>
        <v>1.3.1.01.01- Obras de Arte</v>
      </c>
      <c r="B45" s="9">
        <v>25200</v>
      </c>
      <c r="C45" s="9">
        <v>0</v>
      </c>
      <c r="D45" s="9">
        <v>25200</v>
      </c>
    </row>
    <row r="46" spans="1:4" x14ac:dyDescent="0.25">
      <c r="A46" s="2" t="str">
        <f>"1.3.1.01.02- Participações Societárias - PBH ATIVOS"</f>
        <v>1.3.1.01.02- Participações Societárias - PBH ATIVOS</v>
      </c>
      <c r="B46" s="9">
        <v>861.01</v>
      </c>
      <c r="C46" s="9">
        <v>0</v>
      </c>
      <c r="D46" s="9">
        <v>861.01</v>
      </c>
    </row>
    <row r="47" spans="1:4" x14ac:dyDescent="0.25">
      <c r="A47" s="2" t="str">
        <f>"1.3.2.00.00- IMOBILIZADO"</f>
        <v>1.3.2.00.00- IMOBILIZADO</v>
      </c>
      <c r="B47" s="9">
        <v>6837645.75</v>
      </c>
      <c r="C47" s="9">
        <v>0</v>
      </c>
      <c r="D47" s="9">
        <v>6837645.75</v>
      </c>
    </row>
    <row r="48" spans="1:4" x14ac:dyDescent="0.25">
      <c r="A48" s="2" t="str">
        <f>"1.3.2.01.01- Maquinas e equipamentos"</f>
        <v>1.3.2.01.01- Maquinas e equipamentos</v>
      </c>
      <c r="B48" s="9">
        <v>248917.09</v>
      </c>
      <c r="C48" s="9">
        <v>0</v>
      </c>
      <c r="D48" s="9">
        <v>248917.09</v>
      </c>
    </row>
    <row r="49" spans="1:4" x14ac:dyDescent="0.25">
      <c r="A49" s="2" t="str">
        <f>"1.3.2.02.01- Ferramentas"</f>
        <v>1.3.2.02.01- Ferramentas</v>
      </c>
      <c r="B49" s="9">
        <v>8159.81</v>
      </c>
      <c r="C49" s="9">
        <v>0</v>
      </c>
      <c r="D49" s="9">
        <v>8159.81</v>
      </c>
    </row>
    <row r="50" spans="1:4" x14ac:dyDescent="0.25">
      <c r="A50" s="2" t="str">
        <f>"1.3.2.03.01- Equipamentos de comunicacao"</f>
        <v>1.3.2.03.01- Equipamentos de comunicacao</v>
      </c>
      <c r="B50" s="9">
        <v>635776.65</v>
      </c>
      <c r="C50" s="9">
        <v>0</v>
      </c>
      <c r="D50" s="9">
        <v>635776.65</v>
      </c>
    </row>
    <row r="51" spans="1:4" x14ac:dyDescent="0.25">
      <c r="A51" s="2" t="str">
        <f>"1.3.2.04.01- Instalacoes"</f>
        <v>1.3.2.04.01- Instalacoes</v>
      </c>
      <c r="B51" s="9">
        <v>89886.56</v>
      </c>
      <c r="C51" s="9">
        <v>0</v>
      </c>
      <c r="D51" s="9">
        <v>89886.56</v>
      </c>
    </row>
    <row r="52" spans="1:4" x14ac:dyDescent="0.25">
      <c r="A52" s="2" t="str">
        <f>"1.3.2.06.01- Moveis e utensilios"</f>
        <v>1.3.2.06.01- Moveis e utensilios</v>
      </c>
      <c r="B52" s="9">
        <v>448610.61</v>
      </c>
      <c r="C52" s="9">
        <v>0</v>
      </c>
      <c r="D52" s="9">
        <v>448610.61</v>
      </c>
    </row>
    <row r="53" spans="1:4" x14ac:dyDescent="0.25">
      <c r="A53" s="2" t="str">
        <f>"1.3.2.08.01- Instalacoes administrativas"</f>
        <v>1.3.2.08.01- Instalacoes administrativas</v>
      </c>
      <c r="B53" s="9">
        <v>98491.4</v>
      </c>
      <c r="C53" s="9">
        <v>0</v>
      </c>
      <c r="D53" s="9">
        <v>98491.4</v>
      </c>
    </row>
    <row r="54" spans="1:4" x14ac:dyDescent="0.25">
      <c r="A54" s="2" t="str">
        <f>"1.3.2.09.01- Aparelhos/equipamentos diversos"</f>
        <v>1.3.2.09.01- Aparelhos/equipamentos diversos</v>
      </c>
      <c r="B54" s="9">
        <v>620025.93000000005</v>
      </c>
      <c r="C54" s="9">
        <v>0</v>
      </c>
      <c r="D54" s="9">
        <v>620025.93000000005</v>
      </c>
    </row>
    <row r="55" spans="1:4" x14ac:dyDescent="0.25">
      <c r="A55" s="2" t="str">
        <f>"1.3.2.10.01- Equip. p/ processamento de dados"</f>
        <v>1.3.2.10.01- Equip. p/ processamento de dados</v>
      </c>
      <c r="B55" s="9">
        <v>1494365.77</v>
      </c>
      <c r="C55" s="9">
        <v>0</v>
      </c>
      <c r="D55" s="9">
        <v>1494365.77</v>
      </c>
    </row>
    <row r="56" spans="1:4" x14ac:dyDescent="0.25">
      <c r="A56" s="2" t="str">
        <f>"1.3.2.12.01- Micros/impressoras e acessorios"</f>
        <v>1.3.2.12.01- Micros/impressoras e acessorios</v>
      </c>
      <c r="B56" s="9">
        <v>1421066.01</v>
      </c>
      <c r="C56" s="9">
        <v>0</v>
      </c>
      <c r="D56" s="9">
        <v>1421066.01</v>
      </c>
    </row>
    <row r="57" spans="1:4" x14ac:dyDescent="0.25">
      <c r="A57" s="2" t="str">
        <f>"1.3.2.13.01- Imobilizacao em imoveis de terceiros"</f>
        <v>1.3.2.13.01- Imobilizacao em imoveis de terceiros</v>
      </c>
      <c r="B57" s="9">
        <v>609961.46</v>
      </c>
      <c r="C57" s="9">
        <v>0</v>
      </c>
      <c r="D57" s="9">
        <v>609961.46</v>
      </c>
    </row>
    <row r="58" spans="1:4" x14ac:dyDescent="0.25">
      <c r="A58" s="2" t="str">
        <f>"1.3.2.14.01- Estacao Diamante"</f>
        <v>1.3.2.14.01- Estacao Diamante</v>
      </c>
      <c r="B58" s="9">
        <v>1162384.46</v>
      </c>
      <c r="C58" s="9">
        <v>0</v>
      </c>
      <c r="D58" s="9">
        <v>1162384.46</v>
      </c>
    </row>
    <row r="59" spans="1:4" x14ac:dyDescent="0.25">
      <c r="A59" s="2" t="str">
        <f>"1.3.3.00.00- INTANGIVEL"</f>
        <v>1.3.3.00.00- INTANGIVEL</v>
      </c>
      <c r="B59" s="9">
        <v>37558</v>
      </c>
      <c r="C59" s="9">
        <v>0</v>
      </c>
      <c r="D59" s="9">
        <v>37558</v>
      </c>
    </row>
    <row r="60" spans="1:4" x14ac:dyDescent="0.25">
      <c r="A60" s="2" t="str">
        <f>"1.3.3.03.00- MARCAS E PATENTES"</f>
        <v>1.3.3.03.00- MARCAS E PATENTES</v>
      </c>
      <c r="B60" s="9">
        <v>808</v>
      </c>
      <c r="C60" s="9">
        <v>0</v>
      </c>
      <c r="D60" s="9">
        <v>808</v>
      </c>
    </row>
    <row r="61" spans="1:4" x14ac:dyDescent="0.25">
      <c r="A61" s="2" t="str">
        <f>"1.3.3.03.01- Marcas e Patentes"</f>
        <v>1.3.3.03.01- Marcas e Patentes</v>
      </c>
      <c r="B61" s="9">
        <v>808</v>
      </c>
      <c r="C61" s="9">
        <v>0</v>
      </c>
      <c r="D61" s="9">
        <v>808</v>
      </c>
    </row>
    <row r="62" spans="1:4" x14ac:dyDescent="0.25">
      <c r="A62" s="2" t="str">
        <f>"1.3.3.04.01- Programas e Sistemas"</f>
        <v>1.3.3.04.01- Programas e Sistemas</v>
      </c>
      <c r="B62" s="9">
        <v>36750</v>
      </c>
      <c r="C62" s="9">
        <v>0</v>
      </c>
      <c r="D62" s="9">
        <v>36750</v>
      </c>
    </row>
    <row r="63" spans="1:4" x14ac:dyDescent="0.25">
      <c r="A63" s="2" t="str">
        <f>"1.3.5.00.00- ( - )DEPRECIACAO E AMORTIZACAO"</f>
        <v>1.3.5.00.00- ( - )DEPRECIACAO E AMORTIZACAO</v>
      </c>
      <c r="B63" s="9">
        <v>-5883396.1900000004</v>
      </c>
      <c r="C63" s="9">
        <v>-25174.63</v>
      </c>
      <c r="D63" s="9">
        <v>-5908570.8200000003</v>
      </c>
    </row>
    <row r="64" spans="1:4" x14ac:dyDescent="0.25">
      <c r="A64" s="2" t="str">
        <f>"1.3.5.01.00- ( - ) DEPRECIACAO E AMORTIZACAO"</f>
        <v>1.3.5.01.00- ( - ) DEPRECIACAO E AMORTIZACAO</v>
      </c>
      <c r="B64" s="9">
        <v>-5883396.1900000004</v>
      </c>
      <c r="C64" s="9">
        <v>-25174.63</v>
      </c>
      <c r="D64" s="9">
        <v>-5908570.8200000003</v>
      </c>
    </row>
    <row r="65" spans="1:4" x14ac:dyDescent="0.25">
      <c r="A65" s="2" t="str">
        <f>"1.3.5.01.01- ( - ) Moveis e Utensilios"</f>
        <v>1.3.5.01.01- ( - ) Moveis e Utensilios</v>
      </c>
      <c r="B65" s="9">
        <v>-429034.82</v>
      </c>
      <c r="C65" s="9">
        <v>-261.41000000000003</v>
      </c>
      <c r="D65" s="9">
        <v>-429296.23</v>
      </c>
    </row>
    <row r="66" spans="1:4" x14ac:dyDescent="0.25">
      <c r="A66" s="2" t="str">
        <f>"1.3.5.01.02- ( - ) Aparelhos/Equipamentos Diversos"</f>
        <v>1.3.5.01.02- ( - ) Aparelhos/Equipamentos Diversos</v>
      </c>
      <c r="B66" s="9">
        <v>-578853.43000000005</v>
      </c>
      <c r="C66" s="9">
        <v>-1651.04</v>
      </c>
      <c r="D66" s="9">
        <v>-580504.47</v>
      </c>
    </row>
    <row r="67" spans="1:4" x14ac:dyDescent="0.25">
      <c r="A67" s="2" t="str">
        <f>"1.3.5.01.03- ( - ) Instalacoes Administrativas"</f>
        <v>1.3.5.01.03- ( - ) Instalacoes Administrativas</v>
      </c>
      <c r="B67" s="9">
        <v>-98491.4</v>
      </c>
      <c r="C67" s="9">
        <v>0</v>
      </c>
      <c r="D67" s="9">
        <v>-98491.4</v>
      </c>
    </row>
    <row r="68" spans="1:4" x14ac:dyDescent="0.25">
      <c r="A68" s="2" t="str">
        <f>"1.3.5.01.05- ( - ) Impressoras e Micros"</f>
        <v>1.3.5.01.05- ( - ) Impressoras e Micros</v>
      </c>
      <c r="B68" s="9">
        <v>-2283237.41</v>
      </c>
      <c r="C68" s="9">
        <v>-12687.63</v>
      </c>
      <c r="D68" s="9">
        <v>-2295925.04</v>
      </c>
    </row>
    <row r="69" spans="1:4" x14ac:dyDescent="0.25">
      <c r="A69" s="2" t="str">
        <f>"1.3.5.01.06- ( - ) Maquinas e Equipamentos"</f>
        <v>1.3.5.01.06- ( - ) Maquinas e Equipamentos</v>
      </c>
      <c r="B69" s="9">
        <v>-220152.69</v>
      </c>
      <c r="C69" s="9">
        <v>-555.08000000000004</v>
      </c>
      <c r="D69" s="9">
        <v>-220707.77</v>
      </c>
    </row>
    <row r="70" spans="1:4" x14ac:dyDescent="0.25">
      <c r="A70" s="2" t="str">
        <f>"1.3.5.01.07- ( - ) Equipamentos de Comunicacao"</f>
        <v>1.3.5.01.07- ( - ) Equipamentos de Comunicacao</v>
      </c>
      <c r="B70" s="9">
        <v>-576479.74</v>
      </c>
      <c r="C70" s="9">
        <v>-7995.34</v>
      </c>
      <c r="D70" s="9">
        <v>-584475.07999999996</v>
      </c>
    </row>
    <row r="71" spans="1:4" x14ac:dyDescent="0.25">
      <c r="A71" s="2" t="str">
        <f>"1.3.5.01.08- ( - ) Instalacoes Operacionais"</f>
        <v>1.3.5.01.08- ( - ) Instalacoes Operacionais</v>
      </c>
      <c r="B71" s="9">
        <v>-86629.79</v>
      </c>
      <c r="C71" s="9">
        <v>-95.83</v>
      </c>
      <c r="D71" s="9">
        <v>-86725.62</v>
      </c>
    </row>
    <row r="72" spans="1:4" x14ac:dyDescent="0.25">
      <c r="A72" s="2" t="str">
        <f>"1.3.5.01.09- ( - ) Programas (Softwares)"</f>
        <v>1.3.5.01.09- ( - ) Programas (Softwares)</v>
      </c>
      <c r="B72" s="9">
        <v>-36750</v>
      </c>
      <c r="C72" s="9">
        <v>0</v>
      </c>
      <c r="D72" s="9">
        <v>-36750</v>
      </c>
    </row>
    <row r="73" spans="1:4" x14ac:dyDescent="0.25">
      <c r="A73" s="2" t="str">
        <f>"1.3.5.01.14- ( - ) Ferramentas"</f>
        <v>1.3.5.01.14- ( - ) Ferramentas</v>
      </c>
      <c r="B73" s="9">
        <v>-8159.81</v>
      </c>
      <c r="C73" s="9">
        <v>0</v>
      </c>
      <c r="D73" s="9">
        <v>-8159.81</v>
      </c>
    </row>
    <row r="74" spans="1:4" x14ac:dyDescent="0.25">
      <c r="A74" s="2" t="str">
        <f>"1.3.5.01.15- ( - ) Imobilizacoes em Imov. Terceiros"</f>
        <v>1.3.5.01.15- ( - ) Imobilizacoes em Imov. Terceiros</v>
      </c>
      <c r="B74" s="9">
        <v>-1565607.1</v>
      </c>
      <c r="C74" s="9">
        <v>-1928.3</v>
      </c>
      <c r="D74" s="9">
        <v>-1567535.4</v>
      </c>
    </row>
    <row r="75" spans="1:4" x14ac:dyDescent="0.25">
      <c r="A75" s="2" t="str">
        <f>""</f>
        <v/>
      </c>
      <c r="B75" s="3" t="str">
        <f>""</f>
        <v/>
      </c>
      <c r="C75" s="3" t="str">
        <f>""</f>
        <v/>
      </c>
      <c r="D75" s="3" t="str">
        <f>""</f>
        <v/>
      </c>
    </row>
    <row r="76" spans="1:4" x14ac:dyDescent="0.25">
      <c r="A76" s="2" t="str">
        <f>"PASSIVO"</f>
        <v>PASSIVO</v>
      </c>
      <c r="B76" s="3" t="str">
        <f>""</f>
        <v/>
      </c>
      <c r="C76" s="3" t="str">
        <f>""</f>
        <v/>
      </c>
      <c r="D76" s="3" t="str">
        <f>""</f>
        <v/>
      </c>
    </row>
    <row r="77" spans="1:4" x14ac:dyDescent="0.25">
      <c r="A77" s="2" t="str">
        <f>"2.0.0.00.00- PASSIVO"</f>
        <v>2.0.0.00.00- PASSIVO</v>
      </c>
      <c r="B77" s="9">
        <v>58978069.409999996</v>
      </c>
      <c r="C77" s="9">
        <v>1296198.27</v>
      </c>
      <c r="D77" s="9">
        <v>60274267.68</v>
      </c>
    </row>
    <row r="78" spans="1:4" x14ac:dyDescent="0.25">
      <c r="A78" s="2" t="str">
        <f>"2.1.0.00.00- PASSIVO CIRCULANTE"</f>
        <v>2.1.0.00.00- PASSIVO CIRCULANTE</v>
      </c>
      <c r="B78" s="9">
        <v>38328422.75</v>
      </c>
      <c r="C78" s="9">
        <v>3029070.72</v>
      </c>
      <c r="D78" s="9">
        <v>41357493.469999999</v>
      </c>
    </row>
    <row r="79" spans="1:4" x14ac:dyDescent="0.25">
      <c r="A79" s="2" t="str">
        <f>"2.1.1.00.00- OBRIGACOES COM PESSOAL"</f>
        <v>2.1.1.00.00- OBRIGACOES COM PESSOAL</v>
      </c>
      <c r="B79" s="9">
        <v>18576462.539999999</v>
      </c>
      <c r="C79" s="9">
        <v>3753764.2</v>
      </c>
      <c r="D79" s="9">
        <v>22330226.739999998</v>
      </c>
    </row>
    <row r="80" spans="1:4" x14ac:dyDescent="0.25">
      <c r="A80" s="2" t="str">
        <f>"2.1.1.01.00- SALARIOS A PAGAR"</f>
        <v>2.1.1.01.00- SALARIOS A PAGAR</v>
      </c>
      <c r="B80" s="9">
        <v>18576462.539999999</v>
      </c>
      <c r="C80" s="9">
        <v>3753764.2</v>
      </c>
      <c r="D80" s="9">
        <v>22330226.739999998</v>
      </c>
    </row>
    <row r="81" spans="1:4" x14ac:dyDescent="0.25">
      <c r="A81" s="2" t="str">
        <f>"2.1.1.01.01- Salarios a Pagar"</f>
        <v>2.1.1.01.01- Salarios a Pagar</v>
      </c>
      <c r="B81" s="9">
        <v>5626695.8399999999</v>
      </c>
      <c r="C81" s="9">
        <v>1760749.37</v>
      </c>
      <c r="D81" s="9">
        <v>7387445.21</v>
      </c>
    </row>
    <row r="82" spans="1:4" x14ac:dyDescent="0.25">
      <c r="A82" s="2" t="str">
        <f>"2.1.1.01.02- Provisão 13º Salário"</f>
        <v>2.1.1.01.02- Provisão 13º Salário</v>
      </c>
      <c r="B82" s="9">
        <v>767925.65</v>
      </c>
      <c r="C82" s="9">
        <v>921771.52000000002</v>
      </c>
      <c r="D82" s="9">
        <v>1689697.17</v>
      </c>
    </row>
    <row r="83" spans="1:4" x14ac:dyDescent="0.25">
      <c r="A83" s="2" t="str">
        <f>"2.1.1.01.03- Ferias a pagar"</f>
        <v>2.1.1.01.03- Ferias a pagar</v>
      </c>
      <c r="B83" s="9">
        <v>0</v>
      </c>
      <c r="C83" s="9">
        <v>277038.07</v>
      </c>
      <c r="D83" s="9">
        <v>277038.07</v>
      </c>
    </row>
    <row r="84" spans="1:4" x14ac:dyDescent="0.25">
      <c r="A84" s="2" t="str">
        <f>"2.1.1.01.05- Rescisoes a Pagar"</f>
        <v>2.1.1.01.05- Rescisoes a Pagar</v>
      </c>
      <c r="B84" s="9">
        <v>307.32</v>
      </c>
      <c r="C84" s="9">
        <v>10751.2</v>
      </c>
      <c r="D84" s="9">
        <v>11058.52</v>
      </c>
    </row>
    <row r="85" spans="1:4" x14ac:dyDescent="0.25">
      <c r="A85" s="2" t="str">
        <f>"2.1.1.01.09- Provisao de Ferias"</f>
        <v>2.1.1.01.09- Provisao de Ferias</v>
      </c>
      <c r="B85" s="9">
        <v>12103391.08</v>
      </c>
      <c r="C85" s="9">
        <v>756247.13</v>
      </c>
      <c r="D85" s="9">
        <v>12859638.210000001</v>
      </c>
    </row>
    <row r="86" spans="1:4" x14ac:dyDescent="0.25">
      <c r="A86" s="2" t="str">
        <f>"2.1.1.01.12- Pensão Judicial"</f>
        <v>2.1.1.01.12- Pensão Judicial</v>
      </c>
      <c r="B86" s="9">
        <v>78142.649999999994</v>
      </c>
      <c r="C86" s="9">
        <v>27206.91</v>
      </c>
      <c r="D86" s="9">
        <v>105349.56</v>
      </c>
    </row>
    <row r="87" spans="1:4" x14ac:dyDescent="0.25">
      <c r="A87" s="2" t="str">
        <f>"2.1.2.00.00- OBRIGACOES SOCIAIS A CURTO PRAZO"</f>
        <v>2.1.2.00.00- OBRIGACOES SOCIAIS A CURTO PRAZO</v>
      </c>
      <c r="B87" s="9">
        <v>9926393.6099999994</v>
      </c>
      <c r="C87" s="9">
        <v>798719.2</v>
      </c>
      <c r="D87" s="9">
        <v>10725112.810000001</v>
      </c>
    </row>
    <row r="88" spans="1:4" x14ac:dyDescent="0.25">
      <c r="A88" s="2" t="str">
        <f>"2.1.2.01.00- OBRIGACOES SOCIAIS A RECOLHER"</f>
        <v>2.1.2.01.00- OBRIGACOES SOCIAIS A RECOLHER</v>
      </c>
      <c r="B88" s="9">
        <v>9926393.6099999994</v>
      </c>
      <c r="C88" s="9">
        <v>798719.2</v>
      </c>
      <c r="D88" s="9">
        <v>10725112.810000001</v>
      </c>
    </row>
    <row r="89" spans="1:4" x14ac:dyDescent="0.25">
      <c r="A89" s="2" t="str">
        <f>"2.1.2.01.01- INSS a recolher s/Folha Pagto"</f>
        <v>2.1.2.01.01- INSS a recolher s/Folha Pagto</v>
      </c>
      <c r="B89" s="9">
        <v>3680924.68</v>
      </c>
      <c r="C89" s="9">
        <v>321270.5</v>
      </c>
      <c r="D89" s="9">
        <v>4002195.18</v>
      </c>
    </row>
    <row r="90" spans="1:4" x14ac:dyDescent="0.25">
      <c r="A90" s="2" t="str">
        <f>"2.1.2.01.02- FGTS a recolher s/Folha Pagto"</f>
        <v>2.1.2.01.02- FGTS a recolher s/Folha Pagto</v>
      </c>
      <c r="B90" s="9">
        <v>913522.39</v>
      </c>
      <c r="C90" s="9">
        <v>14263.32</v>
      </c>
      <c r="D90" s="9">
        <v>927785.71</v>
      </c>
    </row>
    <row r="91" spans="1:4" x14ac:dyDescent="0.25">
      <c r="A91" s="2" t="str">
        <f>"2.1.2.01.05- Contribuicao Sindical"</f>
        <v>2.1.2.01.05- Contribuicao Sindical</v>
      </c>
      <c r="B91" s="9">
        <v>9816.67</v>
      </c>
      <c r="C91" s="9">
        <v>8.07</v>
      </c>
      <c r="D91" s="9">
        <v>9824.74</v>
      </c>
    </row>
    <row r="92" spans="1:4" x14ac:dyDescent="0.25">
      <c r="A92" s="2" t="str">
        <f>"2.1.2.01.06- INSS s/Provisao de Ferias"</f>
        <v>2.1.2.01.06- INSS s/Provisao de Ferias</v>
      </c>
      <c r="B92" s="9">
        <v>3499156.77</v>
      </c>
      <c r="C92" s="9">
        <v>217494.56</v>
      </c>
      <c r="D92" s="9">
        <v>3716651.33</v>
      </c>
    </row>
    <row r="93" spans="1:4" x14ac:dyDescent="0.25">
      <c r="A93" s="2" t="str">
        <f>"2.1.2.01.09- INSS a Recolher s/Autonomos"</f>
        <v>2.1.2.01.09- INSS a Recolher s/Autonomos</v>
      </c>
      <c r="B93" s="9">
        <v>4047.59</v>
      </c>
      <c r="C93" s="9">
        <v>327.83</v>
      </c>
      <c r="D93" s="9">
        <v>4375.42</v>
      </c>
    </row>
    <row r="94" spans="1:4" x14ac:dyDescent="0.25">
      <c r="A94" s="2" t="str">
        <f>"2.1.2.01.10- INSS s/Provisao de 13.Salario"</f>
        <v>2.1.2.01.10- INSS s/Provisao de 13.Salario</v>
      </c>
      <c r="B94" s="9">
        <v>222000.43</v>
      </c>
      <c r="C94" s="9">
        <v>266410.2</v>
      </c>
      <c r="D94" s="9">
        <v>488410.63</v>
      </c>
    </row>
    <row r="95" spans="1:4" x14ac:dyDescent="0.25">
      <c r="A95" s="2" t="str">
        <f>"2.1.2.01.11- FGTS s/Provisao de 13.Salario"</f>
        <v>2.1.2.01.11- FGTS s/Provisao de 13.Salario</v>
      </c>
      <c r="B95" s="9">
        <v>46124.69</v>
      </c>
      <c r="C95" s="9">
        <v>50482.7</v>
      </c>
      <c r="D95" s="9">
        <v>96607.39</v>
      </c>
    </row>
    <row r="96" spans="1:4" x14ac:dyDescent="0.25">
      <c r="A96" s="2" t="str">
        <f>"2.1.2.01.12- FGTS s/Provisao de Ferias"</f>
        <v>2.1.2.01.12- FGTS s/Provisao de Ferias</v>
      </c>
      <c r="B96" s="9">
        <v>968258.74</v>
      </c>
      <c r="C96" s="9">
        <v>60490.92</v>
      </c>
      <c r="D96" s="9">
        <v>1028749.66</v>
      </c>
    </row>
    <row r="97" spans="1:4" x14ac:dyDescent="0.25">
      <c r="A97" s="2" t="str">
        <f>"2.1.2.01.15- Crediserv-BH"</f>
        <v>2.1.2.01.15- Crediserv-BH</v>
      </c>
      <c r="B97" s="9">
        <v>24712.080000000002</v>
      </c>
      <c r="C97" s="9">
        <v>0</v>
      </c>
      <c r="D97" s="9">
        <v>24712.080000000002</v>
      </c>
    </row>
    <row r="98" spans="1:4" x14ac:dyDescent="0.25">
      <c r="A98" s="2" t="str">
        <f>"2.1.2.01.16- INSS Fonte a Recolher - PJ"</f>
        <v>2.1.2.01.16- INSS Fonte a Recolher - PJ</v>
      </c>
      <c r="B98" s="9">
        <v>556168.36</v>
      </c>
      <c r="C98" s="9">
        <v>-132190.31</v>
      </c>
      <c r="D98" s="9">
        <v>423978.05</v>
      </c>
    </row>
    <row r="99" spans="1:4" x14ac:dyDescent="0.25">
      <c r="A99" s="2" t="str">
        <f>"2.1.2.01.18- INSS Fonte a Recolher - P F"</f>
        <v>2.1.2.01.18- INSS Fonte a Recolher - P F</v>
      </c>
      <c r="B99" s="9">
        <v>1661.21</v>
      </c>
      <c r="C99" s="9">
        <v>161.41</v>
      </c>
      <c r="D99" s="9">
        <v>1822.62</v>
      </c>
    </row>
    <row r="100" spans="1:4" x14ac:dyDescent="0.25">
      <c r="A100" s="2" t="str">
        <f>"2.1.3.00.00- OBRIGACOES FISCAIS A CURTO PRAZO"</f>
        <v>2.1.3.00.00- OBRIGACOES FISCAIS A CURTO PRAZO</v>
      </c>
      <c r="B100" s="9">
        <v>2553550.37</v>
      </c>
      <c r="C100" s="9">
        <v>-390980.07</v>
      </c>
      <c r="D100" s="9">
        <v>2162570.2999999998</v>
      </c>
    </row>
    <row r="101" spans="1:4" x14ac:dyDescent="0.25">
      <c r="A101" s="2" t="str">
        <f>"2.1.3.01.00- IMPOSTOS E TAXAS A RECOLHER"</f>
        <v>2.1.3.01.00- IMPOSTOS E TAXAS A RECOLHER</v>
      </c>
      <c r="B101" s="9">
        <v>2553550.37</v>
      </c>
      <c r="C101" s="9">
        <v>-390980.07</v>
      </c>
      <c r="D101" s="9">
        <v>2162570.2999999998</v>
      </c>
    </row>
    <row r="102" spans="1:4" x14ac:dyDescent="0.25">
      <c r="A102" s="2" t="str">
        <f>"2.1.3.01.01- IRRF Fonte Folha Pagto"</f>
        <v>2.1.3.01.01- IRRF Fonte Folha Pagto</v>
      </c>
      <c r="B102" s="9">
        <v>1647504.21</v>
      </c>
      <c r="C102" s="9">
        <v>-227575.62</v>
      </c>
      <c r="D102" s="9">
        <v>1419928.59</v>
      </c>
    </row>
    <row r="103" spans="1:4" x14ac:dyDescent="0.25">
      <c r="A103" s="2" t="str">
        <f>"2.1.3.01.03- IRRF Fonte - Pessoa  Juridica e Física"</f>
        <v>2.1.3.01.03- IRRF Fonte - Pessoa  Juridica e Física</v>
      </c>
      <c r="B103" s="9">
        <v>62831.49</v>
      </c>
      <c r="C103" s="9">
        <v>-14238.7</v>
      </c>
      <c r="D103" s="9">
        <v>48592.79</v>
      </c>
    </row>
    <row r="104" spans="1:4" x14ac:dyDescent="0.25">
      <c r="A104" s="2" t="str">
        <f>"2.1.3.01.09- ISS Fonte a Recolher P.Juridica"</f>
        <v>2.1.3.01.09- ISS Fonte a Recolher P.Juridica</v>
      </c>
      <c r="B104" s="9">
        <v>441743.55</v>
      </c>
      <c r="C104" s="9">
        <v>-189427.23</v>
      </c>
      <c r="D104" s="9">
        <v>252316.32</v>
      </c>
    </row>
    <row r="105" spans="1:4" x14ac:dyDescent="0.25">
      <c r="A105" s="2" t="str">
        <f>"2.1.3.01.12- CSLL-COFINS-PIS - FONTE"</f>
        <v>2.1.3.01.12- CSLL-COFINS-PIS - FONTE</v>
      </c>
      <c r="B105" s="9">
        <v>401471.12</v>
      </c>
      <c r="C105" s="9">
        <v>40261.480000000003</v>
      </c>
      <c r="D105" s="9">
        <v>441732.6</v>
      </c>
    </row>
    <row r="106" spans="1:4" x14ac:dyDescent="0.25">
      <c r="A106" s="2" t="str">
        <f>"2.1.4.00.00- OUTRAS OBRIGACOES A CURTO PRAZO"</f>
        <v>2.1.4.00.00- OUTRAS OBRIGACOES A CURTO PRAZO</v>
      </c>
      <c r="B106" s="9">
        <v>7272016.2300000004</v>
      </c>
      <c r="C106" s="9">
        <v>-1132432.6100000001</v>
      </c>
      <c r="D106" s="9">
        <v>6139583.6200000001</v>
      </c>
    </row>
    <row r="107" spans="1:4" x14ac:dyDescent="0.25">
      <c r="A107" s="2" t="str">
        <f>"2.1.4.01.00- FORNECEDORES"</f>
        <v>2.1.4.01.00- FORNECEDORES</v>
      </c>
      <c r="B107" s="9">
        <v>5927217.5</v>
      </c>
      <c r="C107" s="9">
        <v>-1130761.01</v>
      </c>
      <c r="D107" s="9">
        <v>4796456.49</v>
      </c>
    </row>
    <row r="108" spans="1:4" x14ac:dyDescent="0.25">
      <c r="A108" s="2" t="str">
        <f>"2.1.4.01.99- Fornecedores"</f>
        <v>2.1.4.01.99- Fornecedores</v>
      </c>
      <c r="B108" s="9">
        <v>5927217.5</v>
      </c>
      <c r="C108" s="9">
        <v>-1130761.01</v>
      </c>
      <c r="D108" s="9">
        <v>4796456.49</v>
      </c>
    </row>
    <row r="109" spans="1:4" x14ac:dyDescent="0.25">
      <c r="A109" s="2" t="str">
        <f>"2.1.4.02.00- CONTAS A PAGAR"</f>
        <v>2.1.4.02.00- CONTAS A PAGAR</v>
      </c>
      <c r="B109" s="9">
        <v>426882.81</v>
      </c>
      <c r="C109" s="9">
        <v>-1671.6</v>
      </c>
      <c r="D109" s="9">
        <v>425211.21</v>
      </c>
    </row>
    <row r="110" spans="1:4" x14ac:dyDescent="0.25">
      <c r="A110" s="2" t="str">
        <f>"2.1.4.02.01- Emprestimo Consignado - Bradesco"</f>
        <v>2.1.4.02.01- Emprestimo Consignado - Bradesco</v>
      </c>
      <c r="B110" s="9">
        <v>259387.62</v>
      </c>
      <c r="C110" s="9">
        <v>6133.96</v>
      </c>
      <c r="D110" s="9">
        <v>265521.58</v>
      </c>
    </row>
    <row r="111" spans="1:4" x14ac:dyDescent="0.25">
      <c r="A111" s="2" t="str">
        <f>"2.1.4.02.03- Emprestimo Consignado - CEF"</f>
        <v>2.1.4.02.03- Emprestimo Consignado - CEF</v>
      </c>
      <c r="B111" s="9">
        <v>1342.05</v>
      </c>
      <c r="C111" s="9">
        <v>447.35</v>
      </c>
      <c r="D111" s="9">
        <v>1789.4</v>
      </c>
    </row>
    <row r="112" spans="1:4" x14ac:dyDescent="0.25">
      <c r="A112" s="2" t="str">
        <f>"2.1.4.02.05- Emprestimo Consignado-Banco Alfa"</f>
        <v>2.1.4.02.05- Emprestimo Consignado-Banco Alfa</v>
      </c>
      <c r="B112" s="9">
        <v>6987.38</v>
      </c>
      <c r="C112" s="9">
        <v>0</v>
      </c>
      <c r="D112" s="9">
        <v>6987.38</v>
      </c>
    </row>
    <row r="113" spans="1:4" x14ac:dyDescent="0.25">
      <c r="A113" s="2" t="str">
        <f>"2.1.4.02.14- Emprestimo Consignado Trabalhador"</f>
        <v>2.1.4.02.14- Emprestimo Consignado Trabalhador</v>
      </c>
      <c r="B113" s="9">
        <v>131874.62</v>
      </c>
      <c r="C113" s="9">
        <v>-9772.64</v>
      </c>
      <c r="D113" s="9">
        <v>122101.98</v>
      </c>
    </row>
    <row r="114" spans="1:4" x14ac:dyDescent="0.25">
      <c r="A114" s="2" t="str">
        <f>"2.1.4.02.99- Contas a Pagar"</f>
        <v>2.1.4.02.99- Contas a Pagar</v>
      </c>
      <c r="B114" s="9">
        <v>27291.14</v>
      </c>
      <c r="C114" s="9">
        <v>1519.73</v>
      </c>
      <c r="D114" s="9">
        <v>28810.87</v>
      </c>
    </row>
    <row r="115" spans="1:4" x14ac:dyDescent="0.25">
      <c r="A115" s="2" t="str">
        <f>"2.1.4.04.00- CAUCAO DE TERCEIROS/LEILAO"</f>
        <v>2.1.4.04.00- CAUCAO DE TERCEIROS/LEILAO</v>
      </c>
      <c r="B115" s="9">
        <v>917915.92</v>
      </c>
      <c r="C115" s="9">
        <v>0</v>
      </c>
      <c r="D115" s="9">
        <v>917915.92</v>
      </c>
    </row>
    <row r="116" spans="1:4" x14ac:dyDescent="0.25">
      <c r="A116" s="2" t="str">
        <f>"2.1.4.04.98- Leilões"</f>
        <v>2.1.4.04.98- Leilões</v>
      </c>
      <c r="B116" s="9">
        <v>857604.91</v>
      </c>
      <c r="C116" s="9">
        <v>0</v>
      </c>
      <c r="D116" s="9">
        <v>857604.91</v>
      </c>
    </row>
    <row r="117" spans="1:4" x14ac:dyDescent="0.25">
      <c r="A117" s="2" t="str">
        <f>"2.1.4.04.99- Caucao de Terceiros"</f>
        <v>2.1.4.04.99- Caucao de Terceiros</v>
      </c>
      <c r="B117" s="9">
        <v>60311.01</v>
      </c>
      <c r="C117" s="9">
        <v>0</v>
      </c>
      <c r="D117" s="9">
        <v>60311.01</v>
      </c>
    </row>
    <row r="118" spans="1:4" x14ac:dyDescent="0.25">
      <c r="A118" s="2" t="str">
        <f>"2.2.0.00.00- PASSIVO NAO CIRCULANTE"</f>
        <v>2.2.0.00.00- PASSIVO NAO CIRCULANTE</v>
      </c>
      <c r="B118" s="9">
        <v>166944946.37</v>
      </c>
      <c r="C118" s="9">
        <v>12340.8</v>
      </c>
      <c r="D118" s="9">
        <v>166957287.16999999</v>
      </c>
    </row>
    <row r="119" spans="1:4" x14ac:dyDescent="0.25">
      <c r="A119" s="2" t="str">
        <f>"2.2.4.00.00- OUTRAS OBRIGACOES A LONGO PRAZO"</f>
        <v>2.2.4.00.00- OUTRAS OBRIGACOES A LONGO PRAZO</v>
      </c>
      <c r="B119" s="9">
        <v>166944946.37</v>
      </c>
      <c r="C119" s="9">
        <v>12340.8</v>
      </c>
      <c r="D119" s="9">
        <v>166957287.16999999</v>
      </c>
    </row>
    <row r="120" spans="1:4" x14ac:dyDescent="0.25">
      <c r="A120" s="2" t="str">
        <f>"2.2.4.01.00- CREDORES DIVERSOS"</f>
        <v>2.2.4.01.00- CREDORES DIVERSOS</v>
      </c>
      <c r="B120" s="9">
        <v>13236311.74</v>
      </c>
      <c r="C120" s="9">
        <v>0</v>
      </c>
      <c r="D120" s="9">
        <v>13236311.74</v>
      </c>
    </row>
    <row r="121" spans="1:4" x14ac:dyDescent="0.25">
      <c r="A121" s="2" t="str">
        <f>"2.2.4.01.04- Provisão para Contingências Fiscais"</f>
        <v>2.2.4.01.04- Provisão para Contingências Fiscais</v>
      </c>
      <c r="B121" s="9">
        <v>12294456.800000001</v>
      </c>
      <c r="C121" s="9">
        <v>0</v>
      </c>
      <c r="D121" s="9">
        <v>12294456.800000001</v>
      </c>
    </row>
    <row r="122" spans="1:4" x14ac:dyDescent="0.25">
      <c r="A122" s="2" t="str">
        <f>"2.2.4.01.05- INSS Segurados"</f>
        <v>2.2.4.01.05- INSS Segurados</v>
      </c>
      <c r="B122" s="9">
        <v>941854.94</v>
      </c>
      <c r="C122" s="9">
        <v>0</v>
      </c>
      <c r="D122" s="9">
        <v>941854.94</v>
      </c>
    </row>
    <row r="123" spans="1:4" x14ac:dyDescent="0.25">
      <c r="A123" s="2" t="str">
        <f>"2.2.4.04.00- ACOES JUDICIAIS E TRABALHISTAS"</f>
        <v>2.2.4.04.00- ACOES JUDICIAIS E TRABALHISTAS</v>
      </c>
      <c r="B123" s="9">
        <v>153708634.63</v>
      </c>
      <c r="C123" s="9">
        <v>12340.8</v>
      </c>
      <c r="D123" s="9">
        <v>153720975.43000001</v>
      </c>
    </row>
    <row r="124" spans="1:4" x14ac:dyDescent="0.25">
      <c r="A124" s="2" t="str">
        <f>"2.2.4.04.01- Acoes judiciais"</f>
        <v>2.2.4.04.01- Acoes judiciais</v>
      </c>
      <c r="B124" s="9">
        <v>52228746.659999996</v>
      </c>
      <c r="C124" s="9">
        <v>0</v>
      </c>
      <c r="D124" s="9">
        <v>52228746.659999996</v>
      </c>
    </row>
    <row r="125" spans="1:4" x14ac:dyDescent="0.25">
      <c r="A125" s="2" t="str">
        <f>"2.2.4.04.02- Acoes trabalhistas"</f>
        <v>2.2.4.04.02- Acoes trabalhistas</v>
      </c>
      <c r="B125" s="9">
        <v>101479887.97</v>
      </c>
      <c r="C125" s="9">
        <v>12340.8</v>
      </c>
      <c r="D125" s="9">
        <v>101492228.77</v>
      </c>
    </row>
    <row r="126" spans="1:4" x14ac:dyDescent="0.25">
      <c r="A126" s="2" t="str">
        <f>"2.4.0.00.00- PATRIMONIO LIQUIDO"</f>
        <v>2.4.0.00.00- PATRIMONIO LIQUIDO</v>
      </c>
      <c r="B126" s="9">
        <v>-146295299.71000001</v>
      </c>
      <c r="C126" s="9">
        <v>-1745213.25</v>
      </c>
      <c r="D126" s="9">
        <v>-148040512.96000001</v>
      </c>
    </row>
    <row r="127" spans="1:4" x14ac:dyDescent="0.25">
      <c r="A127" s="2" t="str">
        <f>"2.4.1.00.00- CAPITAL SOCIAL"</f>
        <v>2.4.1.00.00- CAPITAL SOCIAL</v>
      </c>
      <c r="B127" s="9">
        <v>67418193.159999996</v>
      </c>
      <c r="C127" s="9">
        <v>0</v>
      </c>
      <c r="D127" s="9">
        <v>67418193.159999996</v>
      </c>
    </row>
    <row r="128" spans="1:4" x14ac:dyDescent="0.25">
      <c r="A128" s="2" t="str">
        <f>"2.4.1.02.00- CAPITAL REALIZADO"</f>
        <v>2.4.1.02.00- CAPITAL REALIZADO</v>
      </c>
      <c r="B128" s="9">
        <v>67418193.159999996</v>
      </c>
      <c r="C128" s="9">
        <v>0</v>
      </c>
      <c r="D128" s="9">
        <v>67418193.159999996</v>
      </c>
    </row>
    <row r="129" spans="1:4" x14ac:dyDescent="0.25">
      <c r="A129" s="2" t="str">
        <f>"2.4.1.02.01- Capital Subscrito"</f>
        <v>2.4.1.02.01- Capital Subscrito</v>
      </c>
      <c r="B129" s="9">
        <v>75000000</v>
      </c>
      <c r="C129" s="9">
        <v>0</v>
      </c>
      <c r="D129" s="9">
        <v>75000000</v>
      </c>
    </row>
    <row r="130" spans="1:4" x14ac:dyDescent="0.25">
      <c r="A130" s="2" t="str">
        <f>"2.4.1.02.04- Capital a Realizar"</f>
        <v>2.4.1.02.04- Capital a Realizar</v>
      </c>
      <c r="B130" s="9">
        <v>-7581806.8399999999</v>
      </c>
      <c r="C130" s="9">
        <v>0</v>
      </c>
      <c r="D130" s="9">
        <v>-7581806.8399999999</v>
      </c>
    </row>
    <row r="131" spans="1:4" x14ac:dyDescent="0.25">
      <c r="A131" s="2" t="str">
        <f>"2.4.3.00.00- RESULTADOS ACUMULADOS"</f>
        <v>2.4.3.00.00- RESULTADOS ACUMULADOS</v>
      </c>
      <c r="B131" s="9">
        <v>-213713492.87</v>
      </c>
      <c r="C131" s="9">
        <v>-1745213.25</v>
      </c>
      <c r="D131" s="9">
        <v>-215458706.12</v>
      </c>
    </row>
    <row r="132" spans="1:4" x14ac:dyDescent="0.25">
      <c r="A132" s="2" t="str">
        <f>"2.4.3.01.00- LUCROS/PREJUIZOS ACUMULADOS"</f>
        <v>2.4.3.01.00- LUCROS/PREJUIZOS ACUMULADOS</v>
      </c>
      <c r="B132" s="9">
        <v>-213713492.87</v>
      </c>
      <c r="C132" s="9">
        <v>-1745213.25</v>
      </c>
      <c r="D132" s="9">
        <v>-215458706.12</v>
      </c>
    </row>
    <row r="133" spans="1:4" x14ac:dyDescent="0.25">
      <c r="A133" s="2" t="str">
        <f>"2.4.3.01.01- Resultados de Exerc. Anteriores"</f>
        <v>2.4.3.01.01- Resultados de Exerc. Anteriores</v>
      </c>
      <c r="B133" s="9">
        <v>-210728141.31</v>
      </c>
      <c r="C133" s="9">
        <v>0</v>
      </c>
      <c r="D133" s="9">
        <v>-210728141.31</v>
      </c>
    </row>
    <row r="134" spans="1:4" x14ac:dyDescent="0.25">
      <c r="A134" s="2" t="str">
        <f>"2.4.3.01.02- Resultado deste Exercicio"</f>
        <v>2.4.3.01.02- Resultado deste Exercicio</v>
      </c>
      <c r="B134" s="9">
        <v>-2985351.56</v>
      </c>
      <c r="C134" s="9">
        <v>-1745213.25</v>
      </c>
      <c r="D134" s="9">
        <v>-4730564.8099999996</v>
      </c>
    </row>
    <row r="135" spans="1:4" x14ac:dyDescent="0.25">
      <c r="A135" s="2" t="str">
        <f>""</f>
        <v/>
      </c>
      <c r="B135" s="3" t="str">
        <f>""</f>
        <v/>
      </c>
      <c r="C135" s="3" t="str">
        <f>""</f>
        <v/>
      </c>
      <c r="D135" s="3" t="str">
        <f>""</f>
        <v/>
      </c>
    </row>
    <row r="136" spans="1:4" x14ac:dyDescent="0.25">
      <c r="A136" s="2" t="str">
        <f>"DESPESAS"</f>
        <v>DESPESAS</v>
      </c>
      <c r="B136" s="3" t="str">
        <f>""</f>
        <v/>
      </c>
      <c r="C136" s="3" t="str">
        <f>""</f>
        <v/>
      </c>
      <c r="D136" s="3" t="str">
        <f>""</f>
        <v/>
      </c>
    </row>
    <row r="137" spans="1:4" x14ac:dyDescent="0.25">
      <c r="A137" s="2" t="str">
        <f>"3.0.0.00.00- DESPESAS"</f>
        <v>3.0.0.00.00- DESPESAS</v>
      </c>
      <c r="B137" s="9">
        <v>23185418.039999999</v>
      </c>
      <c r="C137" s="9">
        <v>25562962.420000002</v>
      </c>
      <c r="D137" s="9">
        <v>48748380.460000001</v>
      </c>
    </row>
    <row r="138" spans="1:4" x14ac:dyDescent="0.25">
      <c r="A138" s="2" t="str">
        <f>"3.1.0.00.00- DESPESAS OPERACIONAIS"</f>
        <v>3.1.0.00.00- DESPESAS OPERACIONAIS</v>
      </c>
      <c r="B138" s="9">
        <v>23185418.039999999</v>
      </c>
      <c r="C138" s="9">
        <v>25562962.420000002</v>
      </c>
      <c r="D138" s="9">
        <v>48748380.460000001</v>
      </c>
    </row>
    <row r="139" spans="1:4" x14ac:dyDescent="0.25">
      <c r="A139" s="2" t="str">
        <f>"3.1.1.00.00- SALARIOS ADICIONAIS E HONORARIOS"</f>
        <v>3.1.1.00.00- SALARIOS ADICIONAIS E HONORARIOS</v>
      </c>
      <c r="B139" s="9">
        <v>10883212.560000001</v>
      </c>
      <c r="C139" s="9">
        <v>13389377.93</v>
      </c>
      <c r="D139" s="9">
        <v>24272590.489999998</v>
      </c>
    </row>
    <row r="140" spans="1:4" x14ac:dyDescent="0.25">
      <c r="A140" s="2" t="str">
        <f>"3.1.1.00.01- Honorarios diretoria"</f>
        <v>3.1.1.00.01- Honorarios diretoria</v>
      </c>
      <c r="B140" s="9">
        <v>57904.11</v>
      </c>
      <c r="C140" s="9">
        <v>80281.399999999994</v>
      </c>
      <c r="D140" s="9">
        <v>138185.51</v>
      </c>
    </row>
    <row r="141" spans="1:4" x14ac:dyDescent="0.25">
      <c r="A141" s="2" t="str">
        <f>"3.1.1.00.02- Honorarios conselho fiscal"</f>
        <v>3.1.1.00.02- Honorarios conselho fiscal</v>
      </c>
      <c r="B141" s="9">
        <v>7151.25</v>
      </c>
      <c r="C141" s="9">
        <v>10231.43</v>
      </c>
      <c r="D141" s="9">
        <v>17382.68</v>
      </c>
    </row>
    <row r="142" spans="1:4" x14ac:dyDescent="0.25">
      <c r="A142" s="2" t="str">
        <f>"3.1.1.00.03- Honorarios cons. administracao"</f>
        <v>3.1.1.00.03- Honorarios cons. administracao</v>
      </c>
      <c r="B142" s="9">
        <v>24538.6</v>
      </c>
      <c r="C142" s="9">
        <v>21458.42</v>
      </c>
      <c r="D142" s="9">
        <v>45997.02</v>
      </c>
    </row>
    <row r="143" spans="1:4" x14ac:dyDescent="0.25">
      <c r="A143" s="2" t="str">
        <f>"3.1.1.00.04- Salarios e adicionais"</f>
        <v>3.1.1.00.04- Salarios e adicionais</v>
      </c>
      <c r="B143" s="9">
        <v>7921626.0800000001</v>
      </c>
      <c r="C143" s="9">
        <v>11051508.949999999</v>
      </c>
      <c r="D143" s="9">
        <v>18973135.030000001</v>
      </c>
    </row>
    <row r="144" spans="1:4" x14ac:dyDescent="0.25">
      <c r="A144" s="2" t="str">
        <f>"3.1.1.00.05- Ferias e abono pecuniario"</f>
        <v>3.1.1.00.05- Ferias e abono pecuniario</v>
      </c>
      <c r="B144" s="9">
        <v>2049598.51</v>
      </c>
      <c r="C144" s="9">
        <v>1170158.06</v>
      </c>
      <c r="D144" s="9">
        <v>3219756.57</v>
      </c>
    </row>
    <row r="145" spans="1:4" x14ac:dyDescent="0.25">
      <c r="A145" s="2" t="str">
        <f>"3.1.1.00.06- Decimo terceiro salario"</f>
        <v>3.1.1.00.06- Decimo terceiro salario</v>
      </c>
      <c r="B145" s="9">
        <v>777441.76</v>
      </c>
      <c r="C145" s="9">
        <v>922868.23</v>
      </c>
      <c r="D145" s="9">
        <v>1700309.99</v>
      </c>
    </row>
    <row r="146" spans="1:4" x14ac:dyDescent="0.25">
      <c r="A146" s="2" t="str">
        <f>"3.1.1.00.07- Indenizacoes trabalhistas"</f>
        <v>3.1.1.00.07- Indenizacoes trabalhistas</v>
      </c>
      <c r="B146" s="9">
        <v>22763.33</v>
      </c>
      <c r="C146" s="9">
        <v>111336.28</v>
      </c>
      <c r="D146" s="9">
        <v>134099.60999999999</v>
      </c>
    </row>
    <row r="147" spans="1:4" x14ac:dyDescent="0.25">
      <c r="A147" s="2" t="str">
        <f>"3.1.1.00.08- Bolsas de estagiario"</f>
        <v>3.1.1.00.08- Bolsas de estagiario</v>
      </c>
      <c r="B147" s="9">
        <v>22188.92</v>
      </c>
      <c r="C147" s="9">
        <v>21535.16</v>
      </c>
      <c r="D147" s="9">
        <v>43724.08</v>
      </c>
    </row>
    <row r="148" spans="1:4" x14ac:dyDescent="0.25">
      <c r="A148" s="2" t="str">
        <f>"3.1.2.01.00- ENCARGOS SOCIAIS"</f>
        <v>3.1.2.01.00- ENCARGOS SOCIAIS</v>
      </c>
      <c r="B148" s="9">
        <v>3957417.69</v>
      </c>
      <c r="C148" s="9">
        <v>4811264.1500000004</v>
      </c>
      <c r="D148" s="9">
        <v>8768681.8399999999</v>
      </c>
    </row>
    <row r="149" spans="1:4" x14ac:dyDescent="0.25">
      <c r="A149" s="2" t="str">
        <f>"3.1.2.01.01- INSS"</f>
        <v>3.1.2.01.01- INSS</v>
      </c>
      <c r="B149" s="9">
        <v>3040851.3</v>
      </c>
      <c r="C149" s="9">
        <v>3772504.82</v>
      </c>
      <c r="D149" s="9">
        <v>6813356.1200000001</v>
      </c>
    </row>
    <row r="150" spans="1:4" x14ac:dyDescent="0.25">
      <c r="A150" s="2" t="str">
        <f>"3.1.2.01.02- FGTS"</f>
        <v>3.1.2.01.02- FGTS</v>
      </c>
      <c r="B150" s="9">
        <v>916566.39</v>
      </c>
      <c r="C150" s="9">
        <v>1038759.33</v>
      </c>
      <c r="D150" s="9">
        <v>1955325.72</v>
      </c>
    </row>
    <row r="151" spans="1:4" x14ac:dyDescent="0.25">
      <c r="A151" s="2" t="str">
        <f>"3.1.2.02.00- OUTRAS DESPESAS COM PESSOAL"</f>
        <v>3.1.2.02.00- OUTRAS DESPESAS COM PESSOAL</v>
      </c>
      <c r="B151" s="9">
        <v>2199157.6</v>
      </c>
      <c r="C151" s="9">
        <v>2182749.13</v>
      </c>
      <c r="D151" s="9">
        <v>4381906.7300000004</v>
      </c>
    </row>
    <row r="152" spans="1:4" x14ac:dyDescent="0.25">
      <c r="A152" s="2" t="str">
        <f>"3.1.2.02.01- Seguros de Vida"</f>
        <v>3.1.2.02.01- Seguros de Vida</v>
      </c>
      <c r="B152" s="9">
        <v>7950.83</v>
      </c>
      <c r="C152" s="9">
        <v>7953.03</v>
      </c>
      <c r="D152" s="9">
        <v>15903.86</v>
      </c>
    </row>
    <row r="153" spans="1:4" x14ac:dyDescent="0.25">
      <c r="A153" s="2" t="str">
        <f>"3.1.2.02.02- Ass. Medica Odontologica"</f>
        <v>3.1.2.02.02- Ass. Medica Odontologica</v>
      </c>
      <c r="B153" s="9">
        <v>752794.31</v>
      </c>
      <c r="C153" s="9">
        <v>737277.01</v>
      </c>
      <c r="D153" s="9">
        <v>1490071.32</v>
      </c>
    </row>
    <row r="154" spans="1:4" x14ac:dyDescent="0.25">
      <c r="A154" s="2" t="str">
        <f>"3.1.2.02.03- Vale Transporte"</f>
        <v>3.1.2.02.03- Vale Transporte</v>
      </c>
      <c r="B154" s="9">
        <v>60864.98</v>
      </c>
      <c r="C154" s="9">
        <v>55121.34</v>
      </c>
      <c r="D154" s="9">
        <v>115986.32</v>
      </c>
    </row>
    <row r="155" spans="1:4" x14ac:dyDescent="0.25">
      <c r="A155" s="2" t="str">
        <f>"3.1.2.02.04- Vale Refeicao/Alimentacao"</f>
        <v>3.1.2.02.04- Vale Refeicao/Alimentacao</v>
      </c>
      <c r="B155" s="9">
        <v>1361744.69</v>
      </c>
      <c r="C155" s="9">
        <v>1366265.52</v>
      </c>
      <c r="D155" s="9">
        <v>2728010.21</v>
      </c>
    </row>
    <row r="156" spans="1:4" x14ac:dyDescent="0.25">
      <c r="A156" s="2" t="str">
        <f>"3.1.2.02.05- Compl. Auxilio Doenca"</f>
        <v>3.1.2.02.05- Compl. Auxilio Doenca</v>
      </c>
      <c r="B156" s="9">
        <v>2212.73</v>
      </c>
      <c r="C156" s="9">
        <v>2772.51</v>
      </c>
      <c r="D156" s="9">
        <v>4985.24</v>
      </c>
    </row>
    <row r="157" spans="1:4" x14ac:dyDescent="0.25">
      <c r="A157" s="2" t="str">
        <f>"3.1.2.02.07- Auxilio Creche"</f>
        <v>3.1.2.02.07- Auxilio Creche</v>
      </c>
      <c r="B157" s="9">
        <v>13590.06</v>
      </c>
      <c r="C157" s="9">
        <v>13359.72</v>
      </c>
      <c r="D157" s="9">
        <v>26949.78</v>
      </c>
    </row>
    <row r="158" spans="1:4" x14ac:dyDescent="0.25">
      <c r="A158" s="2" t="str">
        <f>"3.1.3.00.00- MATERIAIS"</f>
        <v>3.1.3.00.00- MATERIAIS</v>
      </c>
      <c r="B158" s="9">
        <v>51202.22</v>
      </c>
      <c r="C158" s="9">
        <v>32182.959999999999</v>
      </c>
      <c r="D158" s="9">
        <v>83385.179999999993</v>
      </c>
    </row>
    <row r="159" spans="1:4" x14ac:dyDescent="0.25">
      <c r="A159" s="2" t="str">
        <f>"3.1.3.00.09- Material limp/conserv/copa/cozin"</f>
        <v>3.1.3.00.09- Material limp/conserv/copa/cozin</v>
      </c>
      <c r="B159" s="9">
        <v>13610.66</v>
      </c>
      <c r="C159" s="9">
        <v>15630.54</v>
      </c>
      <c r="D159" s="9">
        <v>29241.200000000001</v>
      </c>
    </row>
    <row r="160" spans="1:4" x14ac:dyDescent="0.25">
      <c r="A160" s="2" t="str">
        <f>"3.1.3.00.10- Impressos e material de escritorio"</f>
        <v>3.1.3.00.10- Impressos e material de escritorio</v>
      </c>
      <c r="B160" s="9">
        <v>3798.55</v>
      </c>
      <c r="C160" s="9">
        <v>3641.78</v>
      </c>
      <c r="D160" s="9">
        <v>7440.33</v>
      </c>
    </row>
    <row r="161" spans="1:4" x14ac:dyDescent="0.25">
      <c r="A161" s="2" t="str">
        <f>"3.1.3.00.11- Materiais manut. inst. prediais"</f>
        <v>3.1.3.00.11- Materiais manut. inst. prediais</v>
      </c>
      <c r="B161" s="9">
        <v>11387.4</v>
      </c>
      <c r="C161" s="9">
        <v>12905.9</v>
      </c>
      <c r="D161" s="9">
        <v>24293.3</v>
      </c>
    </row>
    <row r="162" spans="1:4" x14ac:dyDescent="0.25">
      <c r="A162" s="2" t="str">
        <f>"3.1.3.00.15- Materiais e supriment informatic"</f>
        <v>3.1.3.00.15- Materiais e supriment informatic</v>
      </c>
      <c r="B162" s="9">
        <v>21565.61</v>
      </c>
      <c r="C162" s="9">
        <v>4.74</v>
      </c>
      <c r="D162" s="9">
        <v>21570.35</v>
      </c>
    </row>
    <row r="163" spans="1:4" x14ac:dyDescent="0.25">
      <c r="A163" s="2" t="str">
        <f>"3.1.3.00.99- Outros materiais"</f>
        <v>3.1.3.00.99- Outros materiais</v>
      </c>
      <c r="B163" s="9">
        <v>840</v>
      </c>
      <c r="C163" s="9">
        <v>0</v>
      </c>
      <c r="D163" s="9">
        <v>840</v>
      </c>
    </row>
    <row r="164" spans="1:4" x14ac:dyDescent="0.25">
      <c r="A164" s="2" t="str">
        <f>"3.1.4.00.00- SERVICOS PRESTADOS POR TERCEIROS"</f>
        <v>3.1.4.00.00- SERVICOS PRESTADOS POR TERCEIROS</v>
      </c>
      <c r="B164" s="9">
        <v>5404491.7999999998</v>
      </c>
      <c r="C164" s="9">
        <v>4330049.2</v>
      </c>
      <c r="D164" s="9">
        <v>9734541</v>
      </c>
    </row>
    <row r="165" spans="1:4" x14ac:dyDescent="0.25">
      <c r="A165" s="2" t="str">
        <f>"3.1.4.00.01- Consultoria"</f>
        <v>3.1.4.00.01- Consultoria</v>
      </c>
      <c r="B165" s="9">
        <v>5360.95</v>
      </c>
      <c r="C165" s="9">
        <v>1478.15</v>
      </c>
      <c r="D165" s="9">
        <v>6839.1</v>
      </c>
    </row>
    <row r="166" spans="1:4" x14ac:dyDescent="0.25">
      <c r="A166" s="2" t="str">
        <f>"3.1.4.00.02- Locacao de veiculos"</f>
        <v>3.1.4.00.02- Locacao de veiculos</v>
      </c>
      <c r="B166" s="9">
        <v>406.5</v>
      </c>
      <c r="C166" s="9">
        <v>13143.66</v>
      </c>
      <c r="D166" s="9">
        <v>13550.16</v>
      </c>
    </row>
    <row r="167" spans="1:4" x14ac:dyDescent="0.25">
      <c r="A167" s="2" t="str">
        <f>"3.1.4.00.03- Locacao de equipamentos"</f>
        <v>3.1.4.00.03- Locacao de equipamentos</v>
      </c>
      <c r="B167" s="9">
        <v>4302.25</v>
      </c>
      <c r="C167" s="9">
        <v>6844.39</v>
      </c>
      <c r="D167" s="9">
        <v>11146.64</v>
      </c>
    </row>
    <row r="168" spans="1:4" x14ac:dyDescent="0.25">
      <c r="A168" s="2" t="str">
        <f>"3.1.4.00.10- Mao de obra contratada"</f>
        <v>3.1.4.00.10- Mao de obra contratada</v>
      </c>
      <c r="B168" s="9">
        <v>4542926.22</v>
      </c>
      <c r="C168" s="9">
        <v>3446292.92</v>
      </c>
      <c r="D168" s="9">
        <v>7989219.1399999997</v>
      </c>
    </row>
    <row r="169" spans="1:4" x14ac:dyDescent="0.25">
      <c r="A169" s="2" t="str">
        <f>"3.1.4.00.13- Publicidade e divulgacao"</f>
        <v>3.1.4.00.13- Publicidade e divulgacao</v>
      </c>
      <c r="B169" s="9">
        <v>2332</v>
      </c>
      <c r="C169" s="9">
        <v>352</v>
      </c>
      <c r="D169" s="9">
        <v>2684</v>
      </c>
    </row>
    <row r="170" spans="1:4" x14ac:dyDescent="0.25">
      <c r="A170" s="2" t="str">
        <f>"3.1.4.00.14- Informatica-serv. e/ou locacao"</f>
        <v>3.1.4.00.14- Informatica-serv. e/ou locacao</v>
      </c>
      <c r="B170" s="9">
        <v>348182.94</v>
      </c>
      <c r="C170" s="9">
        <v>222542.21</v>
      </c>
      <c r="D170" s="9">
        <v>570725.15</v>
      </c>
    </row>
    <row r="171" spans="1:4" x14ac:dyDescent="0.25">
      <c r="A171" s="2" t="str">
        <f>"3.1.4.00.15- Outros serv. prestados - PF"</f>
        <v>3.1.4.00.15- Outros serv. prestados - PF</v>
      </c>
      <c r="B171" s="9">
        <v>20237.580000000002</v>
      </c>
      <c r="C171" s="9">
        <v>21876.87</v>
      </c>
      <c r="D171" s="9">
        <v>42114.45</v>
      </c>
    </row>
    <row r="172" spans="1:4" x14ac:dyDescent="0.25">
      <c r="A172" s="2" t="str">
        <f>"3.1.4.00.16- Outros serv. Prestados - PJ"</f>
        <v>3.1.4.00.16- Outros serv. Prestados - PJ</v>
      </c>
      <c r="B172" s="9">
        <v>87964.28</v>
      </c>
      <c r="C172" s="9">
        <v>91491.46</v>
      </c>
      <c r="D172" s="9">
        <v>179455.74</v>
      </c>
    </row>
    <row r="173" spans="1:4" x14ac:dyDescent="0.25">
      <c r="A173" s="2" t="str">
        <f>"3.1.4.00.17- Servicos postais"</f>
        <v>3.1.4.00.17- Servicos postais</v>
      </c>
      <c r="B173" s="9">
        <v>19264.34</v>
      </c>
      <c r="C173" s="9">
        <v>6104.08</v>
      </c>
      <c r="D173" s="9">
        <v>25368.42</v>
      </c>
    </row>
    <row r="174" spans="1:4" x14ac:dyDescent="0.25">
      <c r="A174" s="2" t="str">
        <f>"3.1.4.00.26- Serv.limp.conserv."</f>
        <v>3.1.4.00.26- Serv.limp.conserv.</v>
      </c>
      <c r="B174" s="9">
        <v>269127.21999999997</v>
      </c>
      <c r="C174" s="9">
        <v>269127.21999999997</v>
      </c>
      <c r="D174" s="9">
        <v>538254.43999999994</v>
      </c>
    </row>
    <row r="175" spans="1:4" x14ac:dyDescent="0.25">
      <c r="A175" s="2" t="str">
        <f>"3.1.4.00.33- Vale Ref./Al.terceir."</f>
        <v>3.1.4.00.33- Vale Ref./Al.terceir.</v>
      </c>
      <c r="B175" s="9">
        <v>104387.52</v>
      </c>
      <c r="C175" s="9">
        <v>86575.94</v>
      </c>
      <c r="D175" s="9">
        <v>190963.46</v>
      </c>
    </row>
    <row r="176" spans="1:4" x14ac:dyDescent="0.25">
      <c r="A176" s="2" t="str">
        <f>"3.1.4.00.36- (-) Desconto ISSQN conf Lei 9145 serv. P"</f>
        <v>3.1.4.00.36- (-) Desconto ISSQN conf Lei 9145 serv. P</v>
      </c>
      <c r="B176" s="9">
        <v>0</v>
      </c>
      <c r="C176" s="9">
        <v>-3341.25</v>
      </c>
      <c r="D176" s="9">
        <v>-3341.25</v>
      </c>
    </row>
    <row r="177" spans="1:4" x14ac:dyDescent="0.25">
      <c r="A177" s="2" t="str">
        <f>"3.1.4.00.39- Convênio Guarda Municipal"</f>
        <v>3.1.4.00.39- Convênio Guarda Municipal</v>
      </c>
      <c r="B177" s="9">
        <v>0</v>
      </c>
      <c r="C177" s="9">
        <v>167561.54999999999</v>
      </c>
      <c r="D177" s="9">
        <v>167561.54999999999</v>
      </c>
    </row>
    <row r="178" spans="1:4" x14ac:dyDescent="0.25">
      <c r="A178" s="2" t="str">
        <f>"3.1.5.00.00- TARIFAS PUBLICAS"</f>
        <v>3.1.5.00.00- TARIFAS PUBLICAS</v>
      </c>
      <c r="B178" s="9">
        <v>49291.55</v>
      </c>
      <c r="C178" s="9">
        <v>222194.33</v>
      </c>
      <c r="D178" s="9">
        <v>271485.88</v>
      </c>
    </row>
    <row r="179" spans="1:4" x14ac:dyDescent="0.25">
      <c r="A179" s="2" t="str">
        <f>"3.1.5.00.02- Energia eletrica"</f>
        <v>3.1.5.00.02- Energia eletrica</v>
      </c>
      <c r="B179" s="9">
        <v>1699.12</v>
      </c>
      <c r="C179" s="9">
        <v>0</v>
      </c>
      <c r="D179" s="9">
        <v>1699.12</v>
      </c>
    </row>
    <row r="180" spans="1:4" x14ac:dyDescent="0.25">
      <c r="A180" s="2" t="str">
        <f>"3.1.5.00.03- Telefone"</f>
        <v>3.1.5.00.03- Telefone</v>
      </c>
      <c r="B180" s="9">
        <v>47592.43</v>
      </c>
      <c r="C180" s="9">
        <v>47592.43</v>
      </c>
      <c r="D180" s="9">
        <v>95184.86</v>
      </c>
    </row>
    <row r="181" spans="1:4" x14ac:dyDescent="0.25">
      <c r="A181" s="2" t="str">
        <f>"3.1.5.00.04- Copasa/FMS"</f>
        <v>3.1.5.00.04- Copasa/FMS</v>
      </c>
      <c r="B181" s="9">
        <v>0</v>
      </c>
      <c r="C181" s="9">
        <v>174601.9</v>
      </c>
      <c r="D181" s="9">
        <v>174601.9</v>
      </c>
    </row>
    <row r="182" spans="1:4" x14ac:dyDescent="0.25">
      <c r="A182" s="2" t="str">
        <f>"3.1.6.00.00- DESPESAS TRIBUTARIAS"</f>
        <v>3.1.6.00.00- DESPESAS TRIBUTARIAS</v>
      </c>
      <c r="B182" s="9">
        <v>261302.84</v>
      </c>
      <c r="C182" s="9">
        <v>185214.49</v>
      </c>
      <c r="D182" s="9">
        <v>446517.33</v>
      </c>
    </row>
    <row r="183" spans="1:4" x14ac:dyDescent="0.25">
      <c r="A183" s="2" t="str">
        <f>"3.1.6.00.01- Taxas legais"</f>
        <v>3.1.6.00.01- Taxas legais</v>
      </c>
      <c r="B183" s="9">
        <v>21.8</v>
      </c>
      <c r="C183" s="9">
        <v>487.68</v>
      </c>
      <c r="D183" s="9">
        <v>509.48</v>
      </c>
    </row>
    <row r="184" spans="1:4" x14ac:dyDescent="0.25">
      <c r="A184" s="2" t="str">
        <f>"3.1.6.00.03- IOF"</f>
        <v>3.1.6.00.03- IOF</v>
      </c>
      <c r="B184" s="9">
        <v>3177.56</v>
      </c>
      <c r="C184" s="9">
        <v>3719.49</v>
      </c>
      <c r="D184" s="9">
        <v>6897.05</v>
      </c>
    </row>
    <row r="185" spans="1:4" x14ac:dyDescent="0.25">
      <c r="A185" s="2" t="str">
        <f>"3.1.6.00.06- PIS"</f>
        <v>3.1.6.00.06- PIS</v>
      </c>
      <c r="B185" s="9">
        <v>42728.25</v>
      </c>
      <c r="C185" s="9">
        <v>29836.77</v>
      </c>
      <c r="D185" s="9">
        <v>72565.02</v>
      </c>
    </row>
    <row r="186" spans="1:4" x14ac:dyDescent="0.25">
      <c r="A186" s="2" t="str">
        <f>"3.1.6.00.07- COFINS"</f>
        <v>3.1.6.00.07- COFINS</v>
      </c>
      <c r="B186" s="9">
        <v>196808.91</v>
      </c>
      <c r="C186" s="9">
        <v>137429.97</v>
      </c>
      <c r="D186" s="9">
        <v>334238.88</v>
      </c>
    </row>
    <row r="187" spans="1:4" x14ac:dyDescent="0.25">
      <c r="A187" s="2" t="str">
        <f>"3.1.6.00.14- Contrib.entid.classe"</f>
        <v>3.1.6.00.14- Contrib.entid.classe</v>
      </c>
      <c r="B187" s="9">
        <v>4816.71</v>
      </c>
      <c r="C187" s="9">
        <v>843.22</v>
      </c>
      <c r="D187" s="9">
        <v>5659.93</v>
      </c>
    </row>
    <row r="188" spans="1:4" x14ac:dyDescent="0.25">
      <c r="A188" s="2" t="str">
        <f>"3.1.6.00.15- INSS Serv.terceiros"</f>
        <v>3.1.6.00.15- INSS Serv.terceiros</v>
      </c>
      <c r="B188" s="9">
        <v>4047.59</v>
      </c>
      <c r="C188" s="9">
        <v>4375.42</v>
      </c>
      <c r="D188" s="9">
        <v>8423.01</v>
      </c>
    </row>
    <row r="189" spans="1:4" x14ac:dyDescent="0.25">
      <c r="A189" s="2" t="str">
        <f>"3.1.6.00.17- PIS s/ receitas financeiras"</f>
        <v>3.1.6.00.17- PIS s/ receitas financeiras</v>
      </c>
      <c r="B189" s="9">
        <v>1356.2</v>
      </c>
      <c r="C189" s="9">
        <v>1191.24</v>
      </c>
      <c r="D189" s="9">
        <v>2547.44</v>
      </c>
    </row>
    <row r="190" spans="1:4" x14ac:dyDescent="0.25">
      <c r="A190" s="2" t="str">
        <f>"3.1.6.00.18- Cofins s/ receitas financeiras"</f>
        <v>3.1.6.00.18- Cofins s/ receitas financeiras</v>
      </c>
      <c r="B190" s="9">
        <v>8345.82</v>
      </c>
      <c r="C190" s="9">
        <v>7330.7</v>
      </c>
      <c r="D190" s="9">
        <v>15676.52</v>
      </c>
    </row>
    <row r="191" spans="1:4" x14ac:dyDescent="0.25">
      <c r="A191" s="2" t="str">
        <f>"3.1.7.00.00- DESPESAS FINANCEIRAS"</f>
        <v>3.1.7.00.00- DESPESAS FINANCEIRAS</v>
      </c>
      <c r="B191" s="9">
        <v>105.03</v>
      </c>
      <c r="C191" s="9">
        <v>141.88999999999999</v>
      </c>
      <c r="D191" s="9">
        <v>246.92</v>
      </c>
    </row>
    <row r="192" spans="1:4" x14ac:dyDescent="0.25">
      <c r="A192" s="2" t="str">
        <f>"3.1.7.01.02- Despesas bancarias"</f>
        <v>3.1.7.01.02- Despesas bancarias</v>
      </c>
      <c r="B192" s="9">
        <v>105.03</v>
      </c>
      <c r="C192" s="9">
        <v>141.88999999999999</v>
      </c>
      <c r="D192" s="9">
        <v>246.92</v>
      </c>
    </row>
    <row r="193" spans="1:4" x14ac:dyDescent="0.25">
      <c r="A193" s="2" t="str">
        <f>"3.1.8.00.00- OUTRAS DESPESAS"</f>
        <v>3.1.8.00.00- OUTRAS DESPESAS</v>
      </c>
      <c r="B193" s="9">
        <v>379236.75</v>
      </c>
      <c r="C193" s="9">
        <v>409788.34</v>
      </c>
      <c r="D193" s="9">
        <v>789025.09</v>
      </c>
    </row>
    <row r="194" spans="1:4" x14ac:dyDescent="0.25">
      <c r="A194" s="2" t="str">
        <f>"3.1.8.00.01- Despesas de viagem"</f>
        <v>3.1.8.00.01- Despesas de viagem</v>
      </c>
      <c r="B194" s="9">
        <v>3791.97</v>
      </c>
      <c r="C194" s="9">
        <v>0</v>
      </c>
      <c r="D194" s="9">
        <v>3791.97</v>
      </c>
    </row>
    <row r="195" spans="1:4" x14ac:dyDescent="0.25">
      <c r="A195" s="2" t="str">
        <f>"3.1.8.00.05- Depreciacao/amort"</f>
        <v>3.1.8.00.05- Depreciacao/amort</v>
      </c>
      <c r="B195" s="9">
        <v>25207.200000000001</v>
      </c>
      <c r="C195" s="9">
        <v>25174.63</v>
      </c>
      <c r="D195" s="9">
        <v>50381.83</v>
      </c>
    </row>
    <row r="196" spans="1:4" x14ac:dyDescent="0.25">
      <c r="A196" s="2" t="str">
        <f>"3.1.8.00.06- Seguros bens moveis e imoveis"</f>
        <v>3.1.8.00.06- Seguros bens moveis e imoveis</v>
      </c>
      <c r="B196" s="9">
        <v>2327.13</v>
      </c>
      <c r="C196" s="9">
        <v>2420.5100000000002</v>
      </c>
      <c r="D196" s="9">
        <v>4747.6400000000003</v>
      </c>
    </row>
    <row r="197" spans="1:4" x14ac:dyDescent="0.25">
      <c r="A197" s="2" t="str">
        <f>"3.1.8.00.23- Custas/Despesas Judiciais"</f>
        <v>3.1.8.00.23- Custas/Despesas Judiciais</v>
      </c>
      <c r="B197" s="9">
        <v>1936.7</v>
      </c>
      <c r="C197" s="9">
        <v>33727.910000000003</v>
      </c>
      <c r="D197" s="9">
        <v>35664.61</v>
      </c>
    </row>
    <row r="198" spans="1:4" x14ac:dyDescent="0.25">
      <c r="A198" s="2" t="str">
        <f>"3.1.8.00.30- Estacionamento Rotativo Digital"</f>
        <v>3.1.8.00.30- Estacionamento Rotativo Digital</v>
      </c>
      <c r="B198" s="9">
        <v>342973.75</v>
      </c>
      <c r="C198" s="9">
        <v>345668.99</v>
      </c>
      <c r="D198" s="9">
        <v>688642.74</v>
      </c>
    </row>
    <row r="199" spans="1:4" x14ac:dyDescent="0.25">
      <c r="A199" s="2" t="str">
        <f>"3.1.8.00.99- Despesas diversas"</f>
        <v>3.1.8.00.99- Despesas diversas</v>
      </c>
      <c r="B199" s="9">
        <v>3000</v>
      </c>
      <c r="C199" s="9">
        <v>2796.3</v>
      </c>
      <c r="D199" s="9">
        <v>5796.3</v>
      </c>
    </row>
    <row r="200" spans="1:4" x14ac:dyDescent="0.25">
      <c r="A200" s="2" t="str">
        <f>""</f>
        <v/>
      </c>
      <c r="B200" s="3" t="str">
        <f>""</f>
        <v/>
      </c>
      <c r="C200" s="3" t="str">
        <f>""</f>
        <v/>
      </c>
      <c r="D200" s="3" t="str">
        <f>""</f>
        <v/>
      </c>
    </row>
    <row r="201" spans="1:4" x14ac:dyDescent="0.25">
      <c r="A201" s="2" t="str">
        <f>"RECEITAS"</f>
        <v>RECEITAS</v>
      </c>
      <c r="B201" s="3" t="str">
        <f>""</f>
        <v/>
      </c>
      <c r="C201" s="3" t="str">
        <f>""</f>
        <v/>
      </c>
      <c r="D201" s="3" t="str">
        <f>""</f>
        <v/>
      </c>
    </row>
    <row r="202" spans="1:4" x14ac:dyDescent="0.25">
      <c r="A202" s="2" t="str">
        <f>"4.0.0.00.00- RECEITAS"</f>
        <v>4.0.0.00.00- RECEITAS</v>
      </c>
      <c r="B202" s="9">
        <v>20200066.48</v>
      </c>
      <c r="C202" s="9">
        <v>23817749.170000002</v>
      </c>
      <c r="D202" s="9">
        <v>44017815.649999999</v>
      </c>
    </row>
    <row r="203" spans="1:4" x14ac:dyDescent="0.25">
      <c r="A203" s="2" t="str">
        <f>"4.1.0.00.00- RECEITAS BHTRANS"</f>
        <v>4.1.0.00.00- RECEITAS BHTRANS</v>
      </c>
      <c r="B203" s="9">
        <v>2520643.86</v>
      </c>
      <c r="C203" s="9">
        <v>1676369.31</v>
      </c>
      <c r="D203" s="9">
        <v>4197013.17</v>
      </c>
    </row>
    <row r="204" spans="1:4" x14ac:dyDescent="0.25">
      <c r="A204" s="2" t="str">
        <f>"4.1.1.00.00- RECEITAS OPERACIONAIS"</f>
        <v>4.1.1.00.00- RECEITAS OPERACIONAIS</v>
      </c>
      <c r="B204" s="9">
        <v>2326500</v>
      </c>
      <c r="C204" s="9">
        <v>1559250</v>
      </c>
      <c r="D204" s="9">
        <v>3885750</v>
      </c>
    </row>
    <row r="205" spans="1:4" x14ac:dyDescent="0.25">
      <c r="A205" s="2" t="str">
        <f>"4.1.1.00.21- Estacionamento Rotativo Digital"</f>
        <v>4.1.1.00.21- Estacionamento Rotativo Digital</v>
      </c>
      <c r="B205" s="9">
        <v>2326500</v>
      </c>
      <c r="C205" s="9">
        <v>1559250</v>
      </c>
      <c r="D205" s="9">
        <v>3885750</v>
      </c>
    </row>
    <row r="206" spans="1:4" x14ac:dyDescent="0.25">
      <c r="A206" s="2" t="str">
        <f>"4.1.8.00.00- RECEITAS ALUGUEIS ESTACOES"</f>
        <v>4.1.8.00.00- RECEITAS ALUGUEIS ESTACOES</v>
      </c>
      <c r="B206" s="9">
        <v>194143.86</v>
      </c>
      <c r="C206" s="9">
        <v>117119.31</v>
      </c>
      <c r="D206" s="9">
        <v>311263.17</v>
      </c>
    </row>
    <row r="207" spans="1:4" x14ac:dyDescent="0.25">
      <c r="A207" s="2" t="str">
        <f>"4.1.8.00.01- Alugueis Estacoes"</f>
        <v>4.1.8.00.01- Alugueis Estacoes</v>
      </c>
      <c r="B207" s="9">
        <v>194143.86</v>
      </c>
      <c r="C207" s="9">
        <v>117119.31</v>
      </c>
      <c r="D207" s="9">
        <v>311263.17</v>
      </c>
    </row>
    <row r="208" spans="1:4" x14ac:dyDescent="0.25">
      <c r="A208" s="2" t="str">
        <f>"4.2.0.00.00- RECEITAS FINANCEIRAS"</f>
        <v>4.2.0.00.00- RECEITAS FINANCEIRAS</v>
      </c>
      <c r="B208" s="9">
        <v>208645.45</v>
      </c>
      <c r="C208" s="9">
        <v>183267.55</v>
      </c>
      <c r="D208" s="9">
        <v>391913</v>
      </c>
    </row>
    <row r="209" spans="1:4" x14ac:dyDescent="0.25">
      <c r="A209" s="2" t="str">
        <f>"4.2.1.00.00- RECEITAS FINANCEIRAS"</f>
        <v>4.2.1.00.00- RECEITAS FINANCEIRAS</v>
      </c>
      <c r="B209" s="9">
        <v>208645.45</v>
      </c>
      <c r="C209" s="9">
        <v>183267.55</v>
      </c>
      <c r="D209" s="9">
        <v>391913</v>
      </c>
    </row>
    <row r="210" spans="1:4" x14ac:dyDescent="0.25">
      <c r="A210" s="2" t="str">
        <f>"4.2.1.00.01- Rendimentos aplic. Financeira"</f>
        <v>4.2.1.00.01- Rendimentos aplic. Financeira</v>
      </c>
      <c r="B210" s="9">
        <v>208645.45</v>
      </c>
      <c r="C210" s="9">
        <v>183005.49</v>
      </c>
      <c r="D210" s="9">
        <v>391650.94</v>
      </c>
    </row>
    <row r="211" spans="1:4" x14ac:dyDescent="0.25">
      <c r="A211" s="2" t="str">
        <f>"4.2.1.00.05- Receitas Financeiras"</f>
        <v>4.2.1.00.05- Receitas Financeiras</v>
      </c>
      <c r="B211" s="9">
        <v>0</v>
      </c>
      <c r="C211" s="9">
        <v>262.06</v>
      </c>
      <c r="D211" s="9">
        <v>262.06</v>
      </c>
    </row>
    <row r="212" spans="1:4" x14ac:dyDescent="0.25">
      <c r="A212" s="2" t="str">
        <f>"4.3.0.00.00- OUTRAS RECEITAS"</f>
        <v>4.3.0.00.00- OUTRAS RECEITAS</v>
      </c>
      <c r="B212" s="9">
        <v>17470777.170000002</v>
      </c>
      <c r="C212" s="9">
        <v>21958112.309999999</v>
      </c>
      <c r="D212" s="9">
        <v>39428889.479999997</v>
      </c>
    </row>
    <row r="213" spans="1:4" x14ac:dyDescent="0.25">
      <c r="A213" s="2" t="str">
        <f>"4.3.1.00.00- OUTRAS RECEITAS"</f>
        <v>4.3.1.00.00- OUTRAS RECEITAS</v>
      </c>
      <c r="B213" s="9">
        <v>17470777.170000002</v>
      </c>
      <c r="C213" s="9">
        <v>21958112.309999999</v>
      </c>
      <c r="D213" s="9">
        <v>39428889.479999997</v>
      </c>
    </row>
    <row r="214" spans="1:4" x14ac:dyDescent="0.25">
      <c r="A214" s="2" t="str">
        <f>"4.3.1.00.04- Receitas Diversas"</f>
        <v>4.3.1.00.04- Receitas Diversas</v>
      </c>
      <c r="B214" s="9">
        <v>68947</v>
      </c>
      <c r="C214" s="9">
        <v>131919.76</v>
      </c>
      <c r="D214" s="9">
        <v>200866.76</v>
      </c>
    </row>
    <row r="215" spans="1:4" x14ac:dyDescent="0.25">
      <c r="A215" s="2" t="str">
        <f>"4.3.1.00.10- Outras Receitas- Subvenção Econ. Custeio"</f>
        <v>4.3.1.00.10- Outras Receitas- Subvenção Econ. Custeio</v>
      </c>
      <c r="B215" s="9">
        <v>17401830.170000002</v>
      </c>
      <c r="C215" s="9">
        <v>21826192.550000001</v>
      </c>
      <c r="D215" s="9">
        <v>39228022.719999999</v>
      </c>
    </row>
    <row r="216" spans="1:4" x14ac:dyDescent="0.25">
      <c r="A216" s="2" t="str">
        <f>""</f>
        <v/>
      </c>
      <c r="B216" s="3" t="str">
        <f>""</f>
        <v/>
      </c>
      <c r="C216" s="3" t="str">
        <f>""</f>
        <v/>
      </c>
      <c r="D216" s="3" t="str">
        <f>""</f>
        <v/>
      </c>
    </row>
    <row r="217" spans="1:4" x14ac:dyDescent="0.25">
      <c r="A217" s="2" t="str">
        <f>"APURACAO DE RESULTADOS"</f>
        <v>APURACAO DE RESULTADOS</v>
      </c>
      <c r="B217" s="3" t="str">
        <f>""</f>
        <v/>
      </c>
      <c r="C217" s="3" t="str">
        <f>""</f>
        <v/>
      </c>
      <c r="D217" s="3" t="str">
        <f>""</f>
        <v/>
      </c>
    </row>
    <row r="218" spans="1:4" x14ac:dyDescent="0.25">
      <c r="A218" s="2" t="str">
        <f>"5.0.0.00.00- APURACAO DE RESULTADOS"</f>
        <v>5.0.0.00.00- APURACAO DE RESULTADOS</v>
      </c>
      <c r="B218" s="9">
        <v>-2985351.56</v>
      </c>
      <c r="C218" s="9">
        <v>-1745213.25</v>
      </c>
      <c r="D218" s="9">
        <v>-4730564.8099999996</v>
      </c>
    </row>
    <row r="219" spans="1:4" x14ac:dyDescent="0.25">
      <c r="A219" s="2" t="str">
        <f>"5.1.0.00.00- APURACAO DE RESULTADOS"</f>
        <v>5.1.0.00.00- APURACAO DE RESULTADOS</v>
      </c>
      <c r="B219" s="9">
        <v>-2985351.56</v>
      </c>
      <c r="C219" s="9">
        <v>-1745213.25</v>
      </c>
      <c r="D219" s="9">
        <v>-4730564.8099999996</v>
      </c>
    </row>
    <row r="220" spans="1:4" x14ac:dyDescent="0.25">
      <c r="A220" s="2" t="str">
        <f>"5.1.1.00.00- APURACAO DE RESULTADOS"</f>
        <v>5.1.1.00.00- APURACAO DE RESULTADOS</v>
      </c>
      <c r="B220" s="9">
        <v>-2985351.56</v>
      </c>
      <c r="C220" s="9">
        <v>-1745213.25</v>
      </c>
      <c r="D220" s="9">
        <v>-4730564.8099999996</v>
      </c>
    </row>
    <row r="221" spans="1:4" x14ac:dyDescent="0.25">
      <c r="A221" s="2" t="str">
        <f>"5.1.1.00.01- Transferencia das Despesas"</f>
        <v>5.1.1.00.01- Transferencia das Despesas</v>
      </c>
      <c r="B221" s="9">
        <v>-23185418.039999999</v>
      </c>
      <c r="C221" s="9">
        <v>-25562962.420000002</v>
      </c>
      <c r="D221" s="9">
        <v>-48748380.460000001</v>
      </c>
    </row>
    <row r="222" spans="1:4" ht="15.75" thickBot="1" x14ac:dyDescent="0.3">
      <c r="A222" s="4" t="str">
        <f>"5.1.1.00.02- Transferencia das Receitas"</f>
        <v>5.1.1.00.02- Transferencia das Receitas</v>
      </c>
      <c r="B222" s="10">
        <v>20200066.48</v>
      </c>
      <c r="C222" s="10">
        <v>23817749.170000002</v>
      </c>
      <c r="D222" s="10">
        <v>44017815.649999999</v>
      </c>
    </row>
    <row r="223" spans="1:4" x14ac:dyDescent="0.25">
      <c r="A223" t="s">
        <v>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21F6-F899-406A-8D39-C6384E3B446C}">
  <dimension ref="A1:D227"/>
  <sheetViews>
    <sheetView topLeftCell="A64" workbookViewId="0">
      <selection activeCell="F221" sqref="F221"/>
    </sheetView>
  </sheetViews>
  <sheetFormatPr defaultRowHeight="15" x14ac:dyDescent="0.25"/>
  <cols>
    <col min="1" max="1" width="71.5703125" bestFit="1" customWidth="1"/>
    <col min="2" max="2" width="14.5703125" bestFit="1" customWidth="1"/>
    <col min="3" max="3" width="14.28515625" bestFit="1" customWidth="1"/>
    <col min="4" max="4" width="14.5703125" bestFit="1" customWidth="1"/>
  </cols>
  <sheetData>
    <row r="1" spans="1:4" ht="19.5" thickBot="1" x14ac:dyDescent="0.35">
      <c r="A1" s="1" t="s">
        <v>7</v>
      </c>
      <c r="B1" s="1"/>
      <c r="C1" s="1"/>
      <c r="D1" s="1"/>
    </row>
    <row r="2" spans="1:4" ht="15.75" thickBot="1" x14ac:dyDescent="0.3">
      <c r="A2" s="7" t="s">
        <v>0</v>
      </c>
      <c r="B2" s="8" t="s">
        <v>1</v>
      </c>
      <c r="C2" s="8" t="s">
        <v>2</v>
      </c>
      <c r="D2" s="8" t="s">
        <v>3</v>
      </c>
    </row>
    <row r="3" spans="1:4" x14ac:dyDescent="0.25">
      <c r="A3" s="5" t="str">
        <f>"ATIVO"</f>
        <v>ATIVO</v>
      </c>
      <c r="B3" s="6" t="str">
        <f>""</f>
        <v/>
      </c>
      <c r="C3" s="6" t="str">
        <f>""</f>
        <v/>
      </c>
      <c r="D3" s="6" t="str">
        <f>""</f>
        <v/>
      </c>
    </row>
    <row r="4" spans="1:4" x14ac:dyDescent="0.25">
      <c r="A4" s="2" t="str">
        <f>"1.0.0.00.00- ATIVO"</f>
        <v>1.0.0.00.00- ATIVO</v>
      </c>
      <c r="B4" s="9">
        <v>60274267.68</v>
      </c>
      <c r="C4" s="9">
        <v>4342749.42</v>
      </c>
      <c r="D4" s="9">
        <v>64617017.100000001</v>
      </c>
    </row>
    <row r="5" spans="1:4" x14ac:dyDescent="0.25">
      <c r="A5" s="2" t="str">
        <f>"1.1.0.00.00- ATIVO CIRCULANTE"</f>
        <v>1.1.0.00.00- ATIVO CIRCULANTE</v>
      </c>
      <c r="B5" s="9">
        <v>26377447.370000001</v>
      </c>
      <c r="C5" s="9">
        <v>4365422.16</v>
      </c>
      <c r="D5" s="9">
        <v>30742869.530000001</v>
      </c>
    </row>
    <row r="6" spans="1:4" x14ac:dyDescent="0.25">
      <c r="A6" s="2" t="str">
        <f>"1.1.1.00.00- DISPONIVEL"</f>
        <v>1.1.1.00.00- DISPONIVEL</v>
      </c>
      <c r="B6" s="9">
        <v>18513734.469999999</v>
      </c>
      <c r="C6" s="9">
        <v>3736824.12</v>
      </c>
      <c r="D6" s="9">
        <v>22250558.59</v>
      </c>
    </row>
    <row r="7" spans="1:4" x14ac:dyDescent="0.25">
      <c r="A7" s="2" t="str">
        <f>"1.1.1.03.00- APLICACOES FINANCEIRAS"</f>
        <v>1.1.1.03.00- APLICACOES FINANCEIRAS</v>
      </c>
      <c r="B7" s="9">
        <v>16802668.449999999</v>
      </c>
      <c r="C7" s="9">
        <v>3716721.15</v>
      </c>
      <c r="D7" s="9">
        <v>20519389.600000001</v>
      </c>
    </row>
    <row r="8" spans="1:4" x14ac:dyDescent="0.25">
      <c r="A8" s="2" t="str">
        <f>"1.1.1.03.22- Caixa Econômica Federal - 94505-1"</f>
        <v>1.1.1.03.22- Caixa Econômica Federal - 94505-1</v>
      </c>
      <c r="B8" s="9">
        <v>934163.32</v>
      </c>
      <c r="C8" s="9">
        <v>661718.03</v>
      </c>
      <c r="D8" s="9">
        <v>1595881.35</v>
      </c>
    </row>
    <row r="9" spans="1:4" x14ac:dyDescent="0.25">
      <c r="A9" s="2" t="str">
        <f>"1.1.1.03.23- Caixa Econômica Federal - 94506-0"</f>
        <v>1.1.1.03.23- Caixa Econômica Federal - 94506-0</v>
      </c>
      <c r="B9" s="9">
        <v>15863288.15</v>
      </c>
      <c r="C9" s="9">
        <v>3054942.04</v>
      </c>
      <c r="D9" s="9">
        <v>18918230.190000001</v>
      </c>
    </row>
    <row r="10" spans="1:4" x14ac:dyDescent="0.25">
      <c r="A10" s="2" t="str">
        <f>"1.1.1.03.36- Caixa Econômica Federal - 94528-0 Sucumb"</f>
        <v>1.1.1.03.36- Caixa Econômica Federal - 94528-0 Sucumb</v>
      </c>
      <c r="B10" s="9">
        <v>5216.9799999999996</v>
      </c>
      <c r="C10" s="9">
        <v>61.08</v>
      </c>
      <c r="D10" s="9">
        <v>5278.06</v>
      </c>
    </row>
    <row r="11" spans="1:4" x14ac:dyDescent="0.25">
      <c r="A11" s="2" t="str">
        <f>"1.1.1.04.00- BANCOS C/VINCULADA"</f>
        <v>1.1.1.04.00- BANCOS C/VINCULADA</v>
      </c>
      <c r="B11" s="9">
        <v>1711066.02</v>
      </c>
      <c r="C11" s="9">
        <v>20102.97</v>
      </c>
      <c r="D11" s="9">
        <v>1731168.99</v>
      </c>
    </row>
    <row r="12" spans="1:4" x14ac:dyDescent="0.25">
      <c r="A12" s="2" t="str">
        <f>"1.1.1.04.10- Caixa Econômica Federal - 94521-3 Caução"</f>
        <v>1.1.1.04.10- Caixa Econômica Federal - 94521-3 Caução</v>
      </c>
      <c r="B12" s="9">
        <v>120734.5</v>
      </c>
      <c r="C12" s="9">
        <v>1270.25</v>
      </c>
      <c r="D12" s="9">
        <v>122004.75</v>
      </c>
    </row>
    <row r="13" spans="1:4" x14ac:dyDescent="0.25">
      <c r="A13" s="2" t="str">
        <f>"1.1.1.04.12- Caixa Econômica Federal - 94627-9 Leilão"</f>
        <v>1.1.1.04.12- Caixa Econômica Federal - 94627-9 Leilão</v>
      </c>
      <c r="B13" s="9">
        <v>1590331.52</v>
      </c>
      <c r="C13" s="9">
        <v>18832.72</v>
      </c>
      <c r="D13" s="9">
        <v>1609164.24</v>
      </c>
    </row>
    <row r="14" spans="1:4" x14ac:dyDescent="0.25">
      <c r="A14" s="2" t="str">
        <f>"1.1.2.00.00- REALIZAVEL A CURTO PRAZO"</f>
        <v>1.1.2.00.00- REALIZAVEL A CURTO PRAZO</v>
      </c>
      <c r="B14" s="9">
        <v>7863712.9000000004</v>
      </c>
      <c r="C14" s="9">
        <v>628598.04</v>
      </c>
      <c r="D14" s="9">
        <v>8492310.9399999995</v>
      </c>
    </row>
    <row r="15" spans="1:4" x14ac:dyDescent="0.25">
      <c r="A15" s="2" t="str">
        <f>"1.1.2.01.00- CONTAS A RECEBER"</f>
        <v>1.1.2.01.00- CONTAS A RECEBER</v>
      </c>
      <c r="B15" s="9">
        <v>253567.34</v>
      </c>
      <c r="C15" s="9">
        <v>0</v>
      </c>
      <c r="D15" s="9">
        <v>253567.34</v>
      </c>
    </row>
    <row r="16" spans="1:4" x14ac:dyDescent="0.25">
      <c r="A16" s="2" t="str">
        <f>"1.1.2.01.94- Midia Onibus a Receber"</f>
        <v>1.1.2.01.94- Midia Onibus a Receber</v>
      </c>
      <c r="B16" s="9">
        <v>253567.34</v>
      </c>
      <c r="C16" s="9">
        <v>0</v>
      </c>
      <c r="D16" s="9">
        <v>253567.34</v>
      </c>
    </row>
    <row r="17" spans="1:4" x14ac:dyDescent="0.25">
      <c r="A17" s="2" t="str">
        <f>"1.1.2.04.00- CONVÊNIOS A RECEBER"</f>
        <v>1.1.2.04.00- CONVÊNIOS A RECEBER</v>
      </c>
      <c r="B17" s="9">
        <v>120169.98</v>
      </c>
      <c r="C17" s="9">
        <v>-1201</v>
      </c>
      <c r="D17" s="9">
        <v>118968.98</v>
      </c>
    </row>
    <row r="18" spans="1:4" x14ac:dyDescent="0.25">
      <c r="A18" s="2" t="str">
        <f>"1.1.2.04.99- Convenios cedidos a receber"</f>
        <v>1.1.2.04.99- Convenios cedidos a receber</v>
      </c>
      <c r="B18" s="9">
        <v>120169.98</v>
      </c>
      <c r="C18" s="9">
        <v>-1201</v>
      </c>
      <c r="D18" s="9">
        <v>118968.98</v>
      </c>
    </row>
    <row r="19" spans="1:4" x14ac:dyDescent="0.25">
      <c r="A19" s="2" t="str">
        <f>"1.1.2.06.00- ADIANTAMENTO A EMPREGADOS"</f>
        <v>1.1.2.06.00- ADIANTAMENTO A EMPREGADOS</v>
      </c>
      <c r="B19" s="9">
        <v>2582172.34</v>
      </c>
      <c r="C19" s="9">
        <v>312790.55</v>
      </c>
      <c r="D19" s="9">
        <v>2894962.89</v>
      </c>
    </row>
    <row r="20" spans="1:4" x14ac:dyDescent="0.25">
      <c r="A20" s="2" t="str">
        <f>"1.1.2.06.01- Adiantamento de Ferias"</f>
        <v>1.1.2.06.01- Adiantamento de Ferias</v>
      </c>
      <c r="B20" s="9">
        <v>1329014.42</v>
      </c>
      <c r="C20" s="9">
        <v>16944.830000000002</v>
      </c>
      <c r="D20" s="9">
        <v>1345959.25</v>
      </c>
    </row>
    <row r="21" spans="1:4" x14ac:dyDescent="0.25">
      <c r="A21" s="2" t="str">
        <f>"1.1.2.06.02- Adiantamento de 13. Salario"</f>
        <v>1.1.2.06.02- Adiantamento de 13. Salario</v>
      </c>
      <c r="B21" s="9">
        <v>1166325.69</v>
      </c>
      <c r="C21" s="9">
        <v>340652.94</v>
      </c>
      <c r="D21" s="9">
        <v>1506978.63</v>
      </c>
    </row>
    <row r="22" spans="1:4" x14ac:dyDescent="0.25">
      <c r="A22" s="2" t="str">
        <f>"1.1.2.06.03- Adiant. de Salario/Parc. Ferias"</f>
        <v>1.1.2.06.03- Adiant. de Salario/Parc. Ferias</v>
      </c>
      <c r="B22" s="9">
        <v>73772.02</v>
      </c>
      <c r="C22" s="9">
        <v>-35465.86</v>
      </c>
      <c r="D22" s="9">
        <v>38306.160000000003</v>
      </c>
    </row>
    <row r="23" spans="1:4" x14ac:dyDescent="0.25">
      <c r="A23" s="2" t="str">
        <f>"1.1.2.06.07- Adiantamento Pensao s/ Ferias"</f>
        <v>1.1.2.06.07- Adiantamento Pensao s/ Ferias</v>
      </c>
      <c r="B23" s="9">
        <v>13060.21</v>
      </c>
      <c r="C23" s="9">
        <v>-9341.36</v>
      </c>
      <c r="D23" s="9">
        <v>3718.85</v>
      </c>
    </row>
    <row r="24" spans="1:4" x14ac:dyDescent="0.25">
      <c r="A24" s="2" t="str">
        <f>"1.1.2.08.00- ALMOXARIFADO"</f>
        <v>1.1.2.08.00- ALMOXARIFADO</v>
      </c>
      <c r="B24" s="9">
        <v>612472</v>
      </c>
      <c r="C24" s="9">
        <v>-37481.15</v>
      </c>
      <c r="D24" s="9">
        <v>574990.85</v>
      </c>
    </row>
    <row r="25" spans="1:4" x14ac:dyDescent="0.25">
      <c r="A25" s="2" t="str">
        <f>"1.1.2.08.01- Material em Estoque"</f>
        <v>1.1.2.08.01- Material em Estoque</v>
      </c>
      <c r="B25" s="9">
        <v>612472</v>
      </c>
      <c r="C25" s="9">
        <v>-37481.15</v>
      </c>
      <c r="D25" s="9">
        <v>574990.85</v>
      </c>
    </row>
    <row r="26" spans="1:4" x14ac:dyDescent="0.25">
      <c r="A26" s="2" t="str">
        <f>"1.1.2.10.00- IMPOSTOS E CONTRIB.A RECUPERAR"</f>
        <v>1.1.2.10.00- IMPOSTOS E CONTRIB.A RECUPERAR</v>
      </c>
      <c r="B26" s="9">
        <v>5248324.63</v>
      </c>
      <c r="C26" s="9">
        <v>-53630.96</v>
      </c>
      <c r="D26" s="9">
        <v>5194693.67</v>
      </c>
    </row>
    <row r="27" spans="1:4" x14ac:dyDescent="0.25">
      <c r="A27" s="2" t="str">
        <f>"1.1.2.10.01- IR s/Aplicacao Financeira"</f>
        <v>1.1.2.10.01- IR s/Aplicacao Financeira</v>
      </c>
      <c r="B27" s="9">
        <v>506969.7</v>
      </c>
      <c r="C27" s="9">
        <v>30699.62</v>
      </c>
      <c r="D27" s="9">
        <v>537669.31999999995</v>
      </c>
    </row>
    <row r="28" spans="1:4" x14ac:dyDescent="0.25">
      <c r="A28" s="2" t="str">
        <f>"1.1.2.10.15- Cofins a Compensar"</f>
        <v>1.1.2.10.15- Cofins a Compensar</v>
      </c>
      <c r="B28" s="9">
        <v>3880394.82</v>
      </c>
      <c r="C28" s="9">
        <v>-69733.83</v>
      </c>
      <c r="D28" s="9">
        <v>3810660.99</v>
      </c>
    </row>
    <row r="29" spans="1:4" x14ac:dyDescent="0.25">
      <c r="A29" s="2" t="str">
        <f>"1.1.2.10.16- PIS a Compensar"</f>
        <v>1.1.2.10.16- PIS a Compensar</v>
      </c>
      <c r="B29" s="9">
        <v>860960.11</v>
      </c>
      <c r="C29" s="9">
        <v>-14596.75</v>
      </c>
      <c r="D29" s="9">
        <v>846363.36</v>
      </c>
    </row>
    <row r="30" spans="1:4" x14ac:dyDescent="0.25">
      <c r="A30" s="2" t="str">
        <f>"1.1.2.11.00- DESPESAS ANTECIPADAS"</f>
        <v>1.1.2.11.00- DESPESAS ANTECIPADAS</v>
      </c>
      <c r="B30" s="9">
        <v>8997.7999999999993</v>
      </c>
      <c r="C30" s="9">
        <v>-1555.51</v>
      </c>
      <c r="D30" s="9">
        <v>7442.29</v>
      </c>
    </row>
    <row r="31" spans="1:4" x14ac:dyDescent="0.25">
      <c r="A31" s="2" t="str">
        <f>"1.1.2.11.01- Premios de Seguros a Vencer"</f>
        <v>1.1.2.11.01- Premios de Seguros a Vencer</v>
      </c>
      <c r="B31" s="9">
        <v>8997.7999999999993</v>
      </c>
      <c r="C31" s="9">
        <v>-1555.51</v>
      </c>
      <c r="D31" s="9">
        <v>7442.29</v>
      </c>
    </row>
    <row r="32" spans="1:4" x14ac:dyDescent="0.25">
      <c r="A32" s="2" t="str">
        <f>"1.1.2.14.00- CONTAS TRANSITORIAS - GRUPO ATIVO"</f>
        <v>1.1.2.14.00- CONTAS TRANSITORIAS - GRUPO ATIVO</v>
      </c>
      <c r="B32" s="9">
        <v>-961991.19</v>
      </c>
      <c r="C32" s="9">
        <v>409676.11</v>
      </c>
      <c r="D32" s="9">
        <v>-552315.07999999996</v>
      </c>
    </row>
    <row r="33" spans="1:4" x14ac:dyDescent="0.25">
      <c r="A33" s="2" t="str">
        <f>"1.1.2.14.07- Transitoria de Imposto"</f>
        <v>1.1.2.14.07- Transitoria de Imposto</v>
      </c>
      <c r="B33" s="9">
        <v>-961991.19</v>
      </c>
      <c r="C33" s="9">
        <v>409676.11</v>
      </c>
      <c r="D33" s="9">
        <v>-552315.07999999996</v>
      </c>
    </row>
    <row r="34" spans="1:4" x14ac:dyDescent="0.25">
      <c r="A34" s="2" t="str">
        <f>"1.2.0.00.00- ATIVO NAO CIRCULANTE"</f>
        <v>1.2.0.00.00- ATIVO NAO CIRCULANTE</v>
      </c>
      <c r="B34" s="9">
        <v>33896820.310000002</v>
      </c>
      <c r="C34" s="9">
        <v>-22672.74</v>
      </c>
      <c r="D34" s="9">
        <v>33874147.57</v>
      </c>
    </row>
    <row r="35" spans="1:4" x14ac:dyDescent="0.25">
      <c r="A35" s="2" t="str">
        <f>"1.2.1.00.00- REALIZAVEL A LONGO PRAZO"</f>
        <v>1.2.1.00.00- REALIZAVEL A LONGO PRAZO</v>
      </c>
      <c r="B35" s="9">
        <v>32904126.370000001</v>
      </c>
      <c r="C35" s="9">
        <v>2489.5500000000002</v>
      </c>
      <c r="D35" s="9">
        <v>32906615.920000002</v>
      </c>
    </row>
    <row r="36" spans="1:4" x14ac:dyDescent="0.25">
      <c r="A36" s="2" t="str">
        <f>"1.2.1.01.00- CREDITOS E VALORES A RECEBER"</f>
        <v>1.2.1.01.00- CREDITOS E VALORES A RECEBER</v>
      </c>
      <c r="B36" s="9">
        <v>32904126.370000001</v>
      </c>
      <c r="C36" s="9">
        <v>2489.5500000000002</v>
      </c>
      <c r="D36" s="9">
        <v>32906615.920000002</v>
      </c>
    </row>
    <row r="37" spans="1:4" x14ac:dyDescent="0.25">
      <c r="A37" s="2" t="str">
        <f>"1.2.1.01.01- Depositos Judiciais"</f>
        <v>1.2.1.01.01- Depositos Judiciais</v>
      </c>
      <c r="B37" s="9">
        <v>844655.84</v>
      </c>
      <c r="C37" s="9">
        <v>24544.26</v>
      </c>
      <c r="D37" s="9">
        <v>869200.1</v>
      </c>
    </row>
    <row r="38" spans="1:4" x14ac:dyDescent="0.25">
      <c r="A38" s="2" t="str">
        <f>"1.2.1.01.04- Convenio Prefeitura Betim"</f>
        <v>1.2.1.01.04- Convenio Prefeitura Betim</v>
      </c>
      <c r="B38" s="9">
        <v>891.18</v>
      </c>
      <c r="C38" s="9">
        <v>-891.18</v>
      </c>
      <c r="D38" s="9">
        <v>0</v>
      </c>
    </row>
    <row r="39" spans="1:4" x14ac:dyDescent="0.25">
      <c r="A39" s="2" t="str">
        <f>"1.2.1.01.05- Convenio IPSEMG"</f>
        <v>1.2.1.01.05- Convenio IPSEMG</v>
      </c>
      <c r="B39" s="9">
        <v>21163.53</v>
      </c>
      <c r="C39" s="9">
        <v>-21163.53</v>
      </c>
      <c r="D39" s="9">
        <v>0</v>
      </c>
    </row>
    <row r="40" spans="1:4" x14ac:dyDescent="0.25">
      <c r="A40" s="2" t="str">
        <f>"1.2.1.01.06- Multas Transporte Coletivo"</f>
        <v>1.2.1.01.06- Multas Transporte Coletivo</v>
      </c>
      <c r="B40" s="9">
        <v>40046769.780000001</v>
      </c>
      <c r="C40" s="9">
        <v>0</v>
      </c>
      <c r="D40" s="9">
        <v>40046769.780000001</v>
      </c>
    </row>
    <row r="41" spans="1:4" x14ac:dyDescent="0.25">
      <c r="A41" s="2" t="str">
        <f>"1.2.1.01.07- (-) Provisao para Perdas"</f>
        <v>1.2.1.01.07- (-) Provisao para Perdas</v>
      </c>
      <c r="B41" s="9">
        <v>-8009353.96</v>
      </c>
      <c r="C41" s="9">
        <v>0</v>
      </c>
      <c r="D41" s="9">
        <v>-8009353.96</v>
      </c>
    </row>
    <row r="42" spans="1:4" x14ac:dyDescent="0.25">
      <c r="A42" s="2" t="str">
        <f>"1.3.1.00.00- INVESTIMENTOS"</f>
        <v>1.3.1.00.00- INVESTIMENTOS</v>
      </c>
      <c r="B42" s="9">
        <v>26061.01</v>
      </c>
      <c r="C42" s="9">
        <v>0</v>
      </c>
      <c r="D42" s="9">
        <v>26061.01</v>
      </c>
    </row>
    <row r="43" spans="1:4" x14ac:dyDescent="0.25">
      <c r="A43" s="2" t="str">
        <f>"1.3.1.01.00- OUTROS INVESTIMENTOS"</f>
        <v>1.3.1.01.00- OUTROS INVESTIMENTOS</v>
      </c>
      <c r="B43" s="9">
        <v>26061.01</v>
      </c>
      <c r="C43" s="9">
        <v>0</v>
      </c>
      <c r="D43" s="9">
        <v>26061.01</v>
      </c>
    </row>
    <row r="44" spans="1:4" x14ac:dyDescent="0.25">
      <c r="A44" s="2" t="str">
        <f>"1.3.1.01.01- Obras de Arte"</f>
        <v>1.3.1.01.01- Obras de Arte</v>
      </c>
      <c r="B44" s="9">
        <v>25200</v>
      </c>
      <c r="C44" s="9">
        <v>0</v>
      </c>
      <c r="D44" s="9">
        <v>25200</v>
      </c>
    </row>
    <row r="45" spans="1:4" x14ac:dyDescent="0.25">
      <c r="A45" s="2" t="str">
        <f>"1.3.1.01.02- Participações Societárias - PBH ATIVOS"</f>
        <v>1.3.1.01.02- Participações Societárias - PBH ATIVOS</v>
      </c>
      <c r="B45" s="9">
        <v>861.01</v>
      </c>
      <c r="C45" s="9">
        <v>0</v>
      </c>
      <c r="D45" s="9">
        <v>861.01</v>
      </c>
    </row>
    <row r="46" spans="1:4" x14ac:dyDescent="0.25">
      <c r="A46" s="2" t="str">
        <f>"1.3.2.00.00- IMOBILIZADO"</f>
        <v>1.3.2.00.00- IMOBILIZADO</v>
      </c>
      <c r="B46" s="9">
        <v>6837645.75</v>
      </c>
      <c r="C46" s="9">
        <v>0</v>
      </c>
      <c r="D46" s="9">
        <v>6837645.75</v>
      </c>
    </row>
    <row r="47" spans="1:4" x14ac:dyDescent="0.25">
      <c r="A47" s="2" t="str">
        <f>"1.3.2.01.01- Maquinas e equipamentos"</f>
        <v>1.3.2.01.01- Maquinas e equipamentos</v>
      </c>
      <c r="B47" s="9">
        <v>248917.09</v>
      </c>
      <c r="C47" s="9">
        <v>0</v>
      </c>
      <c r="D47" s="9">
        <v>248917.09</v>
      </c>
    </row>
    <row r="48" spans="1:4" x14ac:dyDescent="0.25">
      <c r="A48" s="2" t="str">
        <f>"1.3.2.02.01- Ferramentas"</f>
        <v>1.3.2.02.01- Ferramentas</v>
      </c>
      <c r="B48" s="9">
        <v>8159.81</v>
      </c>
      <c r="C48" s="9">
        <v>0</v>
      </c>
      <c r="D48" s="9">
        <v>8159.81</v>
      </c>
    </row>
    <row r="49" spans="1:4" x14ac:dyDescent="0.25">
      <c r="A49" s="2" t="str">
        <f>"1.3.2.03.01- Equipamentos de comunicacao"</f>
        <v>1.3.2.03.01- Equipamentos de comunicacao</v>
      </c>
      <c r="B49" s="9">
        <v>635776.65</v>
      </c>
      <c r="C49" s="9">
        <v>0</v>
      </c>
      <c r="D49" s="9">
        <v>635776.65</v>
      </c>
    </row>
    <row r="50" spans="1:4" x14ac:dyDescent="0.25">
      <c r="A50" s="2" t="str">
        <f>"1.3.2.04.01- Instalacoes"</f>
        <v>1.3.2.04.01- Instalacoes</v>
      </c>
      <c r="B50" s="9">
        <v>89886.56</v>
      </c>
      <c r="C50" s="9">
        <v>0</v>
      </c>
      <c r="D50" s="9">
        <v>89886.56</v>
      </c>
    </row>
    <row r="51" spans="1:4" x14ac:dyDescent="0.25">
      <c r="A51" s="2" t="str">
        <f>"1.3.2.06.01- Moveis e utensilios"</f>
        <v>1.3.2.06.01- Moveis e utensilios</v>
      </c>
      <c r="B51" s="9">
        <v>448610.61</v>
      </c>
      <c r="C51" s="9">
        <v>0</v>
      </c>
      <c r="D51" s="9">
        <v>448610.61</v>
      </c>
    </row>
    <row r="52" spans="1:4" x14ac:dyDescent="0.25">
      <c r="A52" s="2" t="str">
        <f>"1.3.2.08.01- Instalacoes administrativas"</f>
        <v>1.3.2.08.01- Instalacoes administrativas</v>
      </c>
      <c r="B52" s="9">
        <v>98491.4</v>
      </c>
      <c r="C52" s="9">
        <v>0</v>
      </c>
      <c r="D52" s="9">
        <v>98491.4</v>
      </c>
    </row>
    <row r="53" spans="1:4" x14ac:dyDescent="0.25">
      <c r="A53" s="2" t="str">
        <f>"1.3.2.09.01- Aparelhos/equipamentos diversos"</f>
        <v>1.3.2.09.01- Aparelhos/equipamentos diversos</v>
      </c>
      <c r="B53" s="9">
        <v>620025.93000000005</v>
      </c>
      <c r="C53" s="9">
        <v>0</v>
      </c>
      <c r="D53" s="9">
        <v>620025.93000000005</v>
      </c>
    </row>
    <row r="54" spans="1:4" x14ac:dyDescent="0.25">
      <c r="A54" s="2" t="str">
        <f>"1.3.2.10.01- Equip. p/ processamento de dados"</f>
        <v>1.3.2.10.01- Equip. p/ processamento de dados</v>
      </c>
      <c r="B54" s="9">
        <v>1494365.77</v>
      </c>
      <c r="C54" s="9">
        <v>0</v>
      </c>
      <c r="D54" s="9">
        <v>1494365.77</v>
      </c>
    </row>
    <row r="55" spans="1:4" x14ac:dyDescent="0.25">
      <c r="A55" s="2" t="str">
        <f>"1.3.2.12.01- Micros/impressoras e acessorios"</f>
        <v>1.3.2.12.01- Micros/impressoras e acessorios</v>
      </c>
      <c r="B55" s="9">
        <v>1421066.01</v>
      </c>
      <c r="C55" s="9">
        <v>0</v>
      </c>
      <c r="D55" s="9">
        <v>1421066.01</v>
      </c>
    </row>
    <row r="56" spans="1:4" x14ac:dyDescent="0.25">
      <c r="A56" s="2" t="str">
        <f>"1.3.2.13.01- Imobilizacao em imoveis de terceiros"</f>
        <v>1.3.2.13.01- Imobilizacao em imoveis de terceiros</v>
      </c>
      <c r="B56" s="9">
        <v>609961.46</v>
      </c>
      <c r="C56" s="9">
        <v>0</v>
      </c>
      <c r="D56" s="9">
        <v>609961.46</v>
      </c>
    </row>
    <row r="57" spans="1:4" x14ac:dyDescent="0.25">
      <c r="A57" s="2" t="str">
        <f>"1.3.2.14.01- Estacao Diamante"</f>
        <v>1.3.2.14.01- Estacao Diamante</v>
      </c>
      <c r="B57" s="9">
        <v>1162384.46</v>
      </c>
      <c r="C57" s="9">
        <v>0</v>
      </c>
      <c r="D57" s="9">
        <v>1162384.46</v>
      </c>
    </row>
    <row r="58" spans="1:4" x14ac:dyDescent="0.25">
      <c r="A58" s="2" t="str">
        <f>"1.3.3.00.00- INTANGIVEL"</f>
        <v>1.3.3.00.00- INTANGIVEL</v>
      </c>
      <c r="B58" s="9">
        <v>37558</v>
      </c>
      <c r="C58" s="9">
        <v>0</v>
      </c>
      <c r="D58" s="9">
        <v>37558</v>
      </c>
    </row>
    <row r="59" spans="1:4" x14ac:dyDescent="0.25">
      <c r="A59" s="2" t="str">
        <f>"1.3.3.03.00- MARCAS E PATENTES"</f>
        <v>1.3.3.03.00- MARCAS E PATENTES</v>
      </c>
      <c r="B59" s="9">
        <v>808</v>
      </c>
      <c r="C59" s="9">
        <v>0</v>
      </c>
      <c r="D59" s="9">
        <v>808</v>
      </c>
    </row>
    <row r="60" spans="1:4" x14ac:dyDescent="0.25">
      <c r="A60" s="2" t="str">
        <f>"1.3.3.03.01- Marcas e Patentes"</f>
        <v>1.3.3.03.01- Marcas e Patentes</v>
      </c>
      <c r="B60" s="9">
        <v>808</v>
      </c>
      <c r="C60" s="9">
        <v>0</v>
      </c>
      <c r="D60" s="9">
        <v>808</v>
      </c>
    </row>
    <row r="61" spans="1:4" x14ac:dyDescent="0.25">
      <c r="A61" s="2" t="str">
        <f>"1.3.3.04.01- Programas e Sistemas"</f>
        <v>1.3.3.04.01- Programas e Sistemas</v>
      </c>
      <c r="B61" s="9">
        <v>36750</v>
      </c>
      <c r="C61" s="9">
        <v>0</v>
      </c>
      <c r="D61" s="9">
        <v>36750</v>
      </c>
    </row>
    <row r="62" spans="1:4" x14ac:dyDescent="0.25">
      <c r="A62" s="2" t="str">
        <f>"1.3.5.00.00- ( - )DEPRECIACAO E AMORTIZACAO"</f>
        <v>1.3.5.00.00- ( - )DEPRECIACAO E AMORTIZACAO</v>
      </c>
      <c r="B62" s="9">
        <v>-5908570.8200000003</v>
      </c>
      <c r="C62" s="9">
        <v>-25162.29</v>
      </c>
      <c r="D62" s="9">
        <v>-5933733.1100000003</v>
      </c>
    </row>
    <row r="63" spans="1:4" x14ac:dyDescent="0.25">
      <c r="A63" s="2" t="str">
        <f>"1.3.5.01.00- ( - ) DEPRECIACAO E AMORTIZACAO"</f>
        <v>1.3.5.01.00- ( - ) DEPRECIACAO E AMORTIZACAO</v>
      </c>
      <c r="B63" s="9">
        <v>-5908570.8200000003</v>
      </c>
      <c r="C63" s="9">
        <v>-25162.29</v>
      </c>
      <c r="D63" s="9">
        <v>-5933733.1100000003</v>
      </c>
    </row>
    <row r="64" spans="1:4" x14ac:dyDescent="0.25">
      <c r="A64" s="2" t="str">
        <f>"1.3.5.01.01- ( - ) Moveis e Utensilios"</f>
        <v>1.3.5.01.01- ( - ) Moveis e Utensilios</v>
      </c>
      <c r="B64" s="9">
        <v>-429296.23</v>
      </c>
      <c r="C64" s="9">
        <v>-256.76</v>
      </c>
      <c r="D64" s="9">
        <v>-429552.99</v>
      </c>
    </row>
    <row r="65" spans="1:4" x14ac:dyDescent="0.25">
      <c r="A65" s="2" t="str">
        <f>"1.3.5.01.02- ( - ) Aparelhos/Equipamentos Diversos"</f>
        <v>1.3.5.01.02- ( - ) Aparelhos/Equipamentos Diversos</v>
      </c>
      <c r="B65" s="9">
        <v>-580504.47</v>
      </c>
      <c r="C65" s="9">
        <v>-1643.35</v>
      </c>
      <c r="D65" s="9">
        <v>-582147.81999999995</v>
      </c>
    </row>
    <row r="66" spans="1:4" x14ac:dyDescent="0.25">
      <c r="A66" s="2" t="str">
        <f>"1.3.5.01.03- ( - ) Instalacoes Administrativas"</f>
        <v>1.3.5.01.03- ( - ) Instalacoes Administrativas</v>
      </c>
      <c r="B66" s="9">
        <v>-98491.4</v>
      </c>
      <c r="C66" s="9">
        <v>0</v>
      </c>
      <c r="D66" s="9">
        <v>-98491.4</v>
      </c>
    </row>
    <row r="67" spans="1:4" x14ac:dyDescent="0.25">
      <c r="A67" s="2" t="str">
        <f>"1.3.5.01.05- ( - ) Impressoras e Micros"</f>
        <v>1.3.5.01.05- ( - ) Impressoras e Micros</v>
      </c>
      <c r="B67" s="9">
        <v>-2295925.04</v>
      </c>
      <c r="C67" s="9">
        <v>-12687.63</v>
      </c>
      <c r="D67" s="9">
        <v>-2308612.67</v>
      </c>
    </row>
    <row r="68" spans="1:4" x14ac:dyDescent="0.25">
      <c r="A68" s="2" t="str">
        <f>"1.3.5.01.06- ( - ) Maquinas e Equipamentos"</f>
        <v>1.3.5.01.06- ( - ) Maquinas e Equipamentos</v>
      </c>
      <c r="B68" s="9">
        <v>-220707.77</v>
      </c>
      <c r="C68" s="9">
        <v>-555.08000000000004</v>
      </c>
      <c r="D68" s="9">
        <v>-221262.85</v>
      </c>
    </row>
    <row r="69" spans="1:4" x14ac:dyDescent="0.25">
      <c r="A69" s="2" t="str">
        <f>"1.3.5.01.07- ( - ) Equipamentos de Comunicacao"</f>
        <v>1.3.5.01.07- ( - ) Equipamentos de Comunicacao</v>
      </c>
      <c r="B69" s="9">
        <v>-584475.07999999996</v>
      </c>
      <c r="C69" s="9">
        <v>-7995.34</v>
      </c>
      <c r="D69" s="9">
        <v>-592470.42000000004</v>
      </c>
    </row>
    <row r="70" spans="1:4" x14ac:dyDescent="0.25">
      <c r="A70" s="2" t="str">
        <f>"1.3.5.01.08- ( - ) Instalacoes Operacionais"</f>
        <v>1.3.5.01.08- ( - ) Instalacoes Operacionais</v>
      </c>
      <c r="B70" s="9">
        <v>-86725.62</v>
      </c>
      <c r="C70" s="9">
        <v>-95.83</v>
      </c>
      <c r="D70" s="9">
        <v>-86821.45</v>
      </c>
    </row>
    <row r="71" spans="1:4" x14ac:dyDescent="0.25">
      <c r="A71" s="2" t="str">
        <f>"1.3.5.01.09- ( - ) Programas (Softwares)"</f>
        <v>1.3.5.01.09- ( - ) Programas (Softwares)</v>
      </c>
      <c r="B71" s="9">
        <v>-36750</v>
      </c>
      <c r="C71" s="9">
        <v>0</v>
      </c>
      <c r="D71" s="9">
        <v>-36750</v>
      </c>
    </row>
    <row r="72" spans="1:4" x14ac:dyDescent="0.25">
      <c r="A72" s="2" t="str">
        <f>"1.3.5.01.14- ( - ) Ferramentas"</f>
        <v>1.3.5.01.14- ( - ) Ferramentas</v>
      </c>
      <c r="B72" s="9">
        <v>-8159.81</v>
      </c>
      <c r="C72" s="9">
        <v>0</v>
      </c>
      <c r="D72" s="9">
        <v>-8159.81</v>
      </c>
    </row>
    <row r="73" spans="1:4" x14ac:dyDescent="0.25">
      <c r="A73" s="2" t="str">
        <f>"1.3.5.01.15- ( - ) Imobilizacoes em Imov. Terceiros"</f>
        <v>1.3.5.01.15- ( - ) Imobilizacoes em Imov. Terceiros</v>
      </c>
      <c r="B73" s="9">
        <v>-1567535.4</v>
      </c>
      <c r="C73" s="9">
        <v>-1928.3</v>
      </c>
      <c r="D73" s="9">
        <v>-1569463.7</v>
      </c>
    </row>
    <row r="74" spans="1:4" x14ac:dyDescent="0.25">
      <c r="A74" s="2" t="str">
        <f>""</f>
        <v/>
      </c>
      <c r="B74" s="3" t="str">
        <f>""</f>
        <v/>
      </c>
      <c r="C74" s="3" t="str">
        <f>""</f>
        <v/>
      </c>
      <c r="D74" s="3" t="str">
        <f>""</f>
        <v/>
      </c>
    </row>
    <row r="75" spans="1:4" x14ac:dyDescent="0.25">
      <c r="A75" s="2" t="str">
        <f>"PASSIVO"</f>
        <v>PASSIVO</v>
      </c>
      <c r="B75" s="3" t="str">
        <f>""</f>
        <v/>
      </c>
      <c r="C75" s="3" t="str">
        <f>""</f>
        <v/>
      </c>
      <c r="D75" s="3" t="str">
        <f>""</f>
        <v/>
      </c>
    </row>
    <row r="76" spans="1:4" x14ac:dyDescent="0.25">
      <c r="A76" s="2" t="str">
        <f>"2.0.0.00.00- PASSIVO"</f>
        <v>2.0.0.00.00- PASSIVO</v>
      </c>
      <c r="B76" s="9">
        <v>60274267.68</v>
      </c>
      <c r="C76" s="9">
        <v>4342749.42</v>
      </c>
      <c r="D76" s="9">
        <v>64617017.100000001</v>
      </c>
    </row>
    <row r="77" spans="1:4" x14ac:dyDescent="0.25">
      <c r="A77" s="2" t="str">
        <f>"2.1.0.00.00- PASSIVO CIRCULANTE"</f>
        <v>2.1.0.00.00- PASSIVO CIRCULANTE</v>
      </c>
      <c r="B77" s="9">
        <v>41357493.469999999</v>
      </c>
      <c r="C77" s="9">
        <v>329109.89</v>
      </c>
      <c r="D77" s="9">
        <v>41686603.359999999</v>
      </c>
    </row>
    <row r="78" spans="1:4" x14ac:dyDescent="0.25">
      <c r="A78" s="2" t="str">
        <f>"2.1.1.00.00- OBRIGACOES COM PESSOAL"</f>
        <v>2.1.1.00.00- OBRIGACOES COM PESSOAL</v>
      </c>
      <c r="B78" s="9">
        <v>22330226.739999998</v>
      </c>
      <c r="C78" s="9">
        <v>-578281.55000000005</v>
      </c>
      <c r="D78" s="9">
        <v>21751945.190000001</v>
      </c>
    </row>
    <row r="79" spans="1:4" x14ac:dyDescent="0.25">
      <c r="A79" s="2" t="str">
        <f>"2.1.1.01.00- SALARIOS A PAGAR"</f>
        <v>2.1.1.01.00- SALARIOS A PAGAR</v>
      </c>
      <c r="B79" s="9">
        <v>22330226.739999998</v>
      </c>
      <c r="C79" s="9">
        <v>-578281.55000000005</v>
      </c>
      <c r="D79" s="9">
        <v>21751945.190000001</v>
      </c>
    </row>
    <row r="80" spans="1:4" x14ac:dyDescent="0.25">
      <c r="A80" s="2" t="str">
        <f>"2.1.1.01.01- Salarios a Pagar"</f>
        <v>2.1.1.01.01- Salarios a Pagar</v>
      </c>
      <c r="B80" s="9">
        <v>7387445.21</v>
      </c>
      <c r="C80" s="9">
        <v>-1197203.6100000001</v>
      </c>
      <c r="D80" s="9">
        <v>6190241.5999999996</v>
      </c>
    </row>
    <row r="81" spans="1:4" x14ac:dyDescent="0.25">
      <c r="A81" s="2" t="str">
        <f>"2.1.1.01.02- Provisão 13º Salário"</f>
        <v>2.1.1.01.02- Provisão 13º Salário</v>
      </c>
      <c r="B81" s="9">
        <v>1689697.17</v>
      </c>
      <c r="C81" s="9">
        <v>770813.79</v>
      </c>
      <c r="D81" s="9">
        <v>2460510.96</v>
      </c>
    </row>
    <row r="82" spans="1:4" x14ac:dyDescent="0.25">
      <c r="A82" s="2" t="str">
        <f>"2.1.1.01.03- Ferias a pagar"</f>
        <v>2.1.1.01.03- Ferias a pagar</v>
      </c>
      <c r="B82" s="9">
        <v>277038.07</v>
      </c>
      <c r="C82" s="9">
        <v>-103967.22</v>
      </c>
      <c r="D82" s="9">
        <v>173070.85</v>
      </c>
    </row>
    <row r="83" spans="1:4" x14ac:dyDescent="0.25">
      <c r="A83" s="2" t="str">
        <f>"2.1.1.01.05- Rescisoes a Pagar"</f>
        <v>2.1.1.01.05- Rescisoes a Pagar</v>
      </c>
      <c r="B83" s="9">
        <v>11058.52</v>
      </c>
      <c r="C83" s="9">
        <v>-9969.6200000000008</v>
      </c>
      <c r="D83" s="9">
        <v>1088.9000000000001</v>
      </c>
    </row>
    <row r="84" spans="1:4" x14ac:dyDescent="0.25">
      <c r="A84" s="2" t="str">
        <f>"2.1.1.01.09- Provisao de Ferias"</f>
        <v>2.1.1.01.09- Provisao de Ferias</v>
      </c>
      <c r="B84" s="9">
        <v>12859638.210000001</v>
      </c>
      <c r="C84" s="9">
        <v>-27827.62</v>
      </c>
      <c r="D84" s="9">
        <v>12831810.59</v>
      </c>
    </row>
    <row r="85" spans="1:4" x14ac:dyDescent="0.25">
      <c r="A85" s="2" t="str">
        <f>"2.1.1.01.12- Pensão Judicial"</f>
        <v>2.1.1.01.12- Pensão Judicial</v>
      </c>
      <c r="B85" s="9">
        <v>105349.56</v>
      </c>
      <c r="C85" s="9">
        <v>-10127.27</v>
      </c>
      <c r="D85" s="9">
        <v>95222.29</v>
      </c>
    </row>
    <row r="86" spans="1:4" x14ac:dyDescent="0.25">
      <c r="A86" s="2" t="str">
        <f>"2.1.2.00.00- OBRIGACOES SOCIAIS A CURTO PRAZO"</f>
        <v>2.1.2.00.00- OBRIGACOES SOCIAIS A CURTO PRAZO</v>
      </c>
      <c r="B86" s="9">
        <v>10725112.810000001</v>
      </c>
      <c r="C86" s="9">
        <v>-25363.200000000001</v>
      </c>
      <c r="D86" s="9">
        <v>10699749.609999999</v>
      </c>
    </row>
    <row r="87" spans="1:4" x14ac:dyDescent="0.25">
      <c r="A87" s="2" t="str">
        <f>"2.1.2.01.00- OBRIGACOES SOCIAIS A RECOLHER"</f>
        <v>2.1.2.01.00- OBRIGACOES SOCIAIS A RECOLHER</v>
      </c>
      <c r="B87" s="9">
        <v>10725112.810000001</v>
      </c>
      <c r="C87" s="9">
        <v>-25363.200000000001</v>
      </c>
      <c r="D87" s="9">
        <v>10699749.609999999</v>
      </c>
    </row>
    <row r="88" spans="1:4" x14ac:dyDescent="0.25">
      <c r="A88" s="2" t="str">
        <f>"2.1.2.01.01- INSS a recolher s/Folha Pagto"</f>
        <v>2.1.2.01.01- INSS a recolher s/Folha Pagto</v>
      </c>
      <c r="B88" s="9">
        <v>4002195.18</v>
      </c>
      <c r="C88" s="9">
        <v>-285284.14</v>
      </c>
      <c r="D88" s="9">
        <v>3716911.04</v>
      </c>
    </row>
    <row r="89" spans="1:4" x14ac:dyDescent="0.25">
      <c r="A89" s="2" t="str">
        <f>"2.1.2.01.02- FGTS a recolher s/Folha Pagto"</f>
        <v>2.1.2.01.02- FGTS a recolher s/Folha Pagto</v>
      </c>
      <c r="B89" s="9">
        <v>927785.71</v>
      </c>
      <c r="C89" s="9">
        <v>-63606.02</v>
      </c>
      <c r="D89" s="9">
        <v>864179.69</v>
      </c>
    </row>
    <row r="90" spans="1:4" x14ac:dyDescent="0.25">
      <c r="A90" s="2" t="str">
        <f>"2.1.2.01.05- Contribuicao Sindical"</f>
        <v>2.1.2.01.05- Contribuicao Sindical</v>
      </c>
      <c r="B90" s="9">
        <v>9824.74</v>
      </c>
      <c r="C90" s="9">
        <v>-10.41</v>
      </c>
      <c r="D90" s="9">
        <v>9814.33</v>
      </c>
    </row>
    <row r="91" spans="1:4" x14ac:dyDescent="0.25">
      <c r="A91" s="2" t="str">
        <f>"2.1.2.01.06- INSS s/Provisao de Ferias"</f>
        <v>2.1.2.01.06- INSS s/Provisao de Ferias</v>
      </c>
      <c r="B91" s="9">
        <v>3716651.33</v>
      </c>
      <c r="C91" s="9">
        <v>38885.660000000003</v>
      </c>
      <c r="D91" s="9">
        <v>3755536.99</v>
      </c>
    </row>
    <row r="92" spans="1:4" x14ac:dyDescent="0.25">
      <c r="A92" s="2" t="str">
        <f>"2.1.2.01.09- INSS a Recolher s/Autonomos"</f>
        <v>2.1.2.01.09- INSS a Recolher s/Autonomos</v>
      </c>
      <c r="B92" s="9">
        <v>4375.42</v>
      </c>
      <c r="C92" s="9">
        <v>-12.58</v>
      </c>
      <c r="D92" s="9">
        <v>4362.84</v>
      </c>
    </row>
    <row r="93" spans="1:4" x14ac:dyDescent="0.25">
      <c r="A93" s="2" t="str">
        <f>"2.1.2.01.10- INSS s/Provisao de 13.Salario"</f>
        <v>2.1.2.01.10- INSS s/Provisao de 13.Salario</v>
      </c>
      <c r="B93" s="9">
        <v>488410.63</v>
      </c>
      <c r="C93" s="9">
        <v>232199.11</v>
      </c>
      <c r="D93" s="9">
        <v>720609.74</v>
      </c>
    </row>
    <row r="94" spans="1:4" x14ac:dyDescent="0.25">
      <c r="A94" s="2" t="str">
        <f>"2.1.2.01.11- FGTS s/Provisao de 13.Salario"</f>
        <v>2.1.2.01.11- FGTS s/Provisao de 13.Salario</v>
      </c>
      <c r="B94" s="9">
        <v>96607.39</v>
      </c>
      <c r="C94" s="9">
        <v>25235.54</v>
      </c>
      <c r="D94" s="9">
        <v>121842.93</v>
      </c>
    </row>
    <row r="95" spans="1:4" x14ac:dyDescent="0.25">
      <c r="A95" s="2" t="str">
        <f>"2.1.2.01.12- FGTS s/Provisao de Ferias"</f>
        <v>2.1.2.01.12- FGTS s/Provisao de Ferias</v>
      </c>
      <c r="B95" s="9">
        <v>1028749.66</v>
      </c>
      <c r="C95" s="9">
        <v>-2208.71</v>
      </c>
      <c r="D95" s="9">
        <v>1026540.95</v>
      </c>
    </row>
    <row r="96" spans="1:4" x14ac:dyDescent="0.25">
      <c r="A96" s="2" t="str">
        <f>"2.1.2.01.15- Crediserv-BH"</f>
        <v>2.1.2.01.15- Crediserv-BH</v>
      </c>
      <c r="B96" s="9">
        <v>24712.080000000002</v>
      </c>
      <c r="C96" s="9">
        <v>30</v>
      </c>
      <c r="D96" s="9">
        <v>24742.080000000002</v>
      </c>
    </row>
    <row r="97" spans="1:4" x14ac:dyDescent="0.25">
      <c r="A97" s="2" t="str">
        <f>"2.1.2.01.16- INSS Fonte a Recolher - PJ"</f>
        <v>2.1.2.01.16- INSS Fonte a Recolher - PJ</v>
      </c>
      <c r="B97" s="9">
        <v>423978.05</v>
      </c>
      <c r="C97" s="9">
        <v>29519.51</v>
      </c>
      <c r="D97" s="9">
        <v>453497.56</v>
      </c>
    </row>
    <row r="98" spans="1:4" x14ac:dyDescent="0.25">
      <c r="A98" s="2" t="str">
        <f>"2.1.2.01.18- INSS Fonte a Recolher - P F"</f>
        <v>2.1.2.01.18- INSS Fonte a Recolher - P F</v>
      </c>
      <c r="B98" s="9">
        <v>1822.62</v>
      </c>
      <c r="C98" s="9">
        <v>-111.16</v>
      </c>
      <c r="D98" s="9">
        <v>1711.46</v>
      </c>
    </row>
    <row r="99" spans="1:4" x14ac:dyDescent="0.25">
      <c r="A99" s="2" t="str">
        <f>"2.1.3.00.00- OBRIGACOES FISCAIS A CURTO PRAZO"</f>
        <v>2.1.3.00.00- OBRIGACOES FISCAIS A CURTO PRAZO</v>
      </c>
      <c r="B99" s="9">
        <v>2162570.2999999998</v>
      </c>
      <c r="C99" s="9">
        <v>782482.81</v>
      </c>
      <c r="D99" s="9">
        <v>2945053.11</v>
      </c>
    </row>
    <row r="100" spans="1:4" x14ac:dyDescent="0.25">
      <c r="A100" s="2" t="str">
        <f>"2.1.3.01.00- IMPOSTOS E TAXAS A RECOLHER"</f>
        <v>2.1.3.01.00- IMPOSTOS E TAXAS A RECOLHER</v>
      </c>
      <c r="B100" s="9">
        <v>2162570.2999999998</v>
      </c>
      <c r="C100" s="9">
        <v>782482.81</v>
      </c>
      <c r="D100" s="9">
        <v>2945053.11</v>
      </c>
    </row>
    <row r="101" spans="1:4" x14ac:dyDescent="0.25">
      <c r="A101" s="2" t="str">
        <f>"2.1.3.01.01- IRRF Fonte Folha Pagto"</f>
        <v>2.1.3.01.01- IRRF Fonte Folha Pagto</v>
      </c>
      <c r="B101" s="9">
        <v>1419928.59</v>
      </c>
      <c r="C101" s="9">
        <v>771458.52</v>
      </c>
      <c r="D101" s="9">
        <v>2191387.11</v>
      </c>
    </row>
    <row r="102" spans="1:4" x14ac:dyDescent="0.25">
      <c r="A102" s="2" t="str">
        <f>"2.1.3.01.03- IRRF Fonte - Pessoa  Juridica e Física"</f>
        <v>2.1.3.01.03- IRRF Fonte - Pessoa  Juridica e Física</v>
      </c>
      <c r="B102" s="9">
        <v>48592.79</v>
      </c>
      <c r="C102" s="9">
        <v>1817.25</v>
      </c>
      <c r="D102" s="9">
        <v>50410.04</v>
      </c>
    </row>
    <row r="103" spans="1:4" x14ac:dyDescent="0.25">
      <c r="A103" s="2" t="str">
        <f>"2.1.3.01.09- ISS Fonte a Recolher P.Juridica"</f>
        <v>2.1.3.01.09- ISS Fonte a Recolher P.Juridica</v>
      </c>
      <c r="B103" s="9">
        <v>252316.32</v>
      </c>
      <c r="C103" s="9">
        <v>58701.919999999998</v>
      </c>
      <c r="D103" s="9">
        <v>311018.23999999999</v>
      </c>
    </row>
    <row r="104" spans="1:4" x14ac:dyDescent="0.25">
      <c r="A104" s="2" t="str">
        <f>"2.1.3.01.12- CSLL-COFINS-PIS - FONTE"</f>
        <v>2.1.3.01.12- CSLL-COFINS-PIS - FONTE</v>
      </c>
      <c r="B104" s="9">
        <v>441732.6</v>
      </c>
      <c r="C104" s="9">
        <v>-49494.879999999997</v>
      </c>
      <c r="D104" s="9">
        <v>392237.72</v>
      </c>
    </row>
    <row r="105" spans="1:4" x14ac:dyDescent="0.25">
      <c r="A105" s="2" t="str">
        <f>"2.1.4.00.00- OUTRAS OBRIGACOES A CURTO PRAZO"</f>
        <v>2.1.4.00.00- OUTRAS OBRIGACOES A CURTO PRAZO</v>
      </c>
      <c r="B105" s="9">
        <v>6139583.6200000001</v>
      </c>
      <c r="C105" s="9">
        <v>150271.82999999999</v>
      </c>
      <c r="D105" s="9">
        <v>6289855.4500000002</v>
      </c>
    </row>
    <row r="106" spans="1:4" x14ac:dyDescent="0.25">
      <c r="A106" s="2" t="str">
        <f>"2.1.4.01.00- FORNECEDORES"</f>
        <v>2.1.4.01.00- FORNECEDORES</v>
      </c>
      <c r="B106" s="9">
        <v>4796456.49</v>
      </c>
      <c r="C106" s="9">
        <v>163446.65</v>
      </c>
      <c r="D106" s="9">
        <v>4959903.1399999997</v>
      </c>
    </row>
    <row r="107" spans="1:4" x14ac:dyDescent="0.25">
      <c r="A107" s="2" t="str">
        <f>"2.1.4.01.99- Fornecedores"</f>
        <v>2.1.4.01.99- Fornecedores</v>
      </c>
      <c r="B107" s="9">
        <v>4796456.49</v>
      </c>
      <c r="C107" s="9">
        <v>163446.65</v>
      </c>
      <c r="D107" s="9">
        <v>4959903.1399999997</v>
      </c>
    </row>
    <row r="108" spans="1:4" x14ac:dyDescent="0.25">
      <c r="A108" s="2" t="str">
        <f>"2.1.4.02.00- CONTAS A PAGAR"</f>
        <v>2.1.4.02.00- CONTAS A PAGAR</v>
      </c>
      <c r="B108" s="9">
        <v>425211.21</v>
      </c>
      <c r="C108" s="9">
        <v>-13174.82</v>
      </c>
      <c r="D108" s="9">
        <v>412036.39</v>
      </c>
    </row>
    <row r="109" spans="1:4" x14ac:dyDescent="0.25">
      <c r="A109" s="2" t="str">
        <f>"2.1.4.02.01- Emprestimo Consignado - Bradesco"</f>
        <v>2.1.4.02.01- Emprestimo Consignado - Bradesco</v>
      </c>
      <c r="B109" s="9">
        <v>265521.58</v>
      </c>
      <c r="C109" s="9">
        <v>-1004.22</v>
      </c>
      <c r="D109" s="9">
        <v>264517.36</v>
      </c>
    </row>
    <row r="110" spans="1:4" x14ac:dyDescent="0.25">
      <c r="A110" s="2" t="str">
        <f>"2.1.4.02.03- Emprestimo Consignado - CEF"</f>
        <v>2.1.4.02.03- Emprestimo Consignado - CEF</v>
      </c>
      <c r="B110" s="9">
        <v>1789.4</v>
      </c>
      <c r="C110" s="9">
        <v>-1342.05</v>
      </c>
      <c r="D110" s="9">
        <v>447.35</v>
      </c>
    </row>
    <row r="111" spans="1:4" x14ac:dyDescent="0.25">
      <c r="A111" s="2" t="str">
        <f>"2.1.4.02.05- Emprestimo Consignado-Banco Alfa"</f>
        <v>2.1.4.02.05- Emprestimo Consignado-Banco Alfa</v>
      </c>
      <c r="B111" s="9">
        <v>6987.38</v>
      </c>
      <c r="C111" s="9">
        <v>0</v>
      </c>
      <c r="D111" s="9">
        <v>6987.38</v>
      </c>
    </row>
    <row r="112" spans="1:4" x14ac:dyDescent="0.25">
      <c r="A112" s="2" t="str">
        <f>"2.1.4.02.14- Emprestimo Consignado Trabalhador"</f>
        <v>2.1.4.02.14- Emprestimo Consignado Trabalhador</v>
      </c>
      <c r="B112" s="9">
        <v>122101.98</v>
      </c>
      <c r="C112" s="9">
        <v>9579.5499999999993</v>
      </c>
      <c r="D112" s="9">
        <v>131681.53</v>
      </c>
    </row>
    <row r="113" spans="1:4" x14ac:dyDescent="0.25">
      <c r="A113" s="2" t="str">
        <f>"2.1.4.02.99- Contas a Pagar"</f>
        <v>2.1.4.02.99- Contas a Pagar</v>
      </c>
      <c r="B113" s="9">
        <v>28810.87</v>
      </c>
      <c r="C113" s="9">
        <v>-20408.099999999999</v>
      </c>
      <c r="D113" s="9">
        <v>8402.77</v>
      </c>
    </row>
    <row r="114" spans="1:4" x14ac:dyDescent="0.25">
      <c r="A114" s="2" t="str">
        <f>"2.1.4.04.00- CAUCAO DE TERCEIROS/LEILAO"</f>
        <v>2.1.4.04.00- CAUCAO DE TERCEIROS/LEILAO</v>
      </c>
      <c r="B114" s="9">
        <v>917915.92</v>
      </c>
      <c r="C114" s="9">
        <v>0</v>
      </c>
      <c r="D114" s="9">
        <v>917915.92</v>
      </c>
    </row>
    <row r="115" spans="1:4" x14ac:dyDescent="0.25">
      <c r="A115" s="2" t="str">
        <f>"2.1.4.04.98- Leilões"</f>
        <v>2.1.4.04.98- Leilões</v>
      </c>
      <c r="B115" s="9">
        <v>857604.91</v>
      </c>
      <c r="C115" s="9">
        <v>0</v>
      </c>
      <c r="D115" s="9">
        <v>857604.91</v>
      </c>
    </row>
    <row r="116" spans="1:4" x14ac:dyDescent="0.25">
      <c r="A116" s="2" t="str">
        <f>"2.1.4.04.99- Caucao de Terceiros"</f>
        <v>2.1.4.04.99- Caucao de Terceiros</v>
      </c>
      <c r="B116" s="9">
        <v>60311.01</v>
      </c>
      <c r="C116" s="9">
        <v>0</v>
      </c>
      <c r="D116" s="9">
        <v>60311.01</v>
      </c>
    </row>
    <row r="117" spans="1:4" x14ac:dyDescent="0.25">
      <c r="A117" s="2" t="str">
        <f>"2.2.0.00.00- PASSIVO NAO CIRCULANTE"</f>
        <v>2.2.0.00.00- PASSIVO NAO CIRCULANTE</v>
      </c>
      <c r="B117" s="9">
        <v>166957287.16999999</v>
      </c>
      <c r="C117" s="9">
        <v>-36922.519999999997</v>
      </c>
      <c r="D117" s="9">
        <v>166920364.65000001</v>
      </c>
    </row>
    <row r="118" spans="1:4" x14ac:dyDescent="0.25">
      <c r="A118" s="2" t="str">
        <f>"2.2.4.00.00- OUTRAS OBRIGACOES A LONGO PRAZO"</f>
        <v>2.2.4.00.00- OUTRAS OBRIGACOES A LONGO PRAZO</v>
      </c>
      <c r="B118" s="9">
        <v>166957287.16999999</v>
      </c>
      <c r="C118" s="9">
        <v>-36922.519999999997</v>
      </c>
      <c r="D118" s="9">
        <v>166920364.65000001</v>
      </c>
    </row>
    <row r="119" spans="1:4" x14ac:dyDescent="0.25">
      <c r="A119" s="2" t="str">
        <f>"2.2.4.01.00- CREDORES DIVERSOS"</f>
        <v>2.2.4.01.00- CREDORES DIVERSOS</v>
      </c>
      <c r="B119" s="9">
        <v>13236311.74</v>
      </c>
      <c r="C119" s="9">
        <v>0</v>
      </c>
      <c r="D119" s="9">
        <v>13236311.74</v>
      </c>
    </row>
    <row r="120" spans="1:4" x14ac:dyDescent="0.25">
      <c r="A120" s="2" t="str">
        <f>"2.2.4.01.04- Provisão para Contingências Fiscais"</f>
        <v>2.2.4.01.04- Provisão para Contingências Fiscais</v>
      </c>
      <c r="B120" s="9">
        <v>12294456.800000001</v>
      </c>
      <c r="C120" s="9">
        <v>0</v>
      </c>
      <c r="D120" s="9">
        <v>12294456.800000001</v>
      </c>
    </row>
    <row r="121" spans="1:4" x14ac:dyDescent="0.25">
      <c r="A121" s="2" t="str">
        <f>"2.2.4.01.05- INSS Segurados"</f>
        <v>2.2.4.01.05- INSS Segurados</v>
      </c>
      <c r="B121" s="9">
        <v>941854.94</v>
      </c>
      <c r="C121" s="9">
        <v>0</v>
      </c>
      <c r="D121" s="9">
        <v>941854.94</v>
      </c>
    </row>
    <row r="122" spans="1:4" x14ac:dyDescent="0.25">
      <c r="A122" s="2" t="str">
        <f>"2.2.4.04.00- ACOES JUDICIAIS E TRABALHISTAS"</f>
        <v>2.2.4.04.00- ACOES JUDICIAIS E TRABALHISTAS</v>
      </c>
      <c r="B122" s="9">
        <v>153720975.43000001</v>
      </c>
      <c r="C122" s="9">
        <v>-36922.519999999997</v>
      </c>
      <c r="D122" s="9">
        <v>153684052.91</v>
      </c>
    </row>
    <row r="123" spans="1:4" x14ac:dyDescent="0.25">
      <c r="A123" s="2" t="str">
        <f>"2.2.4.04.01- Acoes judiciais"</f>
        <v>2.2.4.04.01- Acoes judiciais</v>
      </c>
      <c r="B123" s="9">
        <v>52228746.659999996</v>
      </c>
      <c r="C123" s="9">
        <v>0</v>
      </c>
      <c r="D123" s="9">
        <v>52228746.659999996</v>
      </c>
    </row>
    <row r="124" spans="1:4" x14ac:dyDescent="0.25">
      <c r="A124" s="2" t="str">
        <f>"2.2.4.04.02- Acoes trabalhistas"</f>
        <v>2.2.4.04.02- Acoes trabalhistas</v>
      </c>
      <c r="B124" s="9">
        <v>101492228.77</v>
      </c>
      <c r="C124" s="9">
        <v>-36922.519999999997</v>
      </c>
      <c r="D124" s="9">
        <v>101455306.25</v>
      </c>
    </row>
    <row r="125" spans="1:4" x14ac:dyDescent="0.25">
      <c r="A125" s="2" t="str">
        <f>"2.4.0.00.00- PATRIMONIO LIQUIDO"</f>
        <v>2.4.0.00.00- PATRIMONIO LIQUIDO</v>
      </c>
      <c r="B125" s="9">
        <v>-148040512.96000001</v>
      </c>
      <c r="C125" s="9">
        <v>4050562.05</v>
      </c>
      <c r="D125" s="9">
        <v>-143989950.91</v>
      </c>
    </row>
    <row r="126" spans="1:4" x14ac:dyDescent="0.25">
      <c r="A126" s="2" t="str">
        <f>"2.4.1.00.00- CAPITAL SOCIAL"</f>
        <v>2.4.1.00.00- CAPITAL SOCIAL</v>
      </c>
      <c r="B126" s="9">
        <v>67418193.159999996</v>
      </c>
      <c r="C126" s="9">
        <v>0</v>
      </c>
      <c r="D126" s="9">
        <v>67418193.159999996</v>
      </c>
    </row>
    <row r="127" spans="1:4" x14ac:dyDescent="0.25">
      <c r="A127" s="2" t="str">
        <f>"2.4.1.02.00- CAPITAL REALIZADO"</f>
        <v>2.4.1.02.00- CAPITAL REALIZADO</v>
      </c>
      <c r="B127" s="9">
        <v>67418193.159999996</v>
      </c>
      <c r="C127" s="9">
        <v>0</v>
      </c>
      <c r="D127" s="9">
        <v>67418193.159999996</v>
      </c>
    </row>
    <row r="128" spans="1:4" x14ac:dyDescent="0.25">
      <c r="A128" s="2" t="str">
        <f>"2.4.1.02.01- Capital Subscrito"</f>
        <v>2.4.1.02.01- Capital Subscrito</v>
      </c>
      <c r="B128" s="9">
        <v>75000000</v>
      </c>
      <c r="C128" s="9">
        <v>0</v>
      </c>
      <c r="D128" s="9">
        <v>75000000</v>
      </c>
    </row>
    <row r="129" spans="1:4" x14ac:dyDescent="0.25">
      <c r="A129" s="2" t="str">
        <f>"2.4.1.02.04- Capital a Realizar"</f>
        <v>2.4.1.02.04- Capital a Realizar</v>
      </c>
      <c r="B129" s="9">
        <v>-7581806.8399999999</v>
      </c>
      <c r="C129" s="9">
        <v>0</v>
      </c>
      <c r="D129" s="9">
        <v>-7581806.8399999999</v>
      </c>
    </row>
    <row r="130" spans="1:4" x14ac:dyDescent="0.25">
      <c r="A130" s="2" t="str">
        <f>"2.4.3.00.00- RESULTADOS ACUMULADOS"</f>
        <v>2.4.3.00.00- RESULTADOS ACUMULADOS</v>
      </c>
      <c r="B130" s="9">
        <v>-215458706.12</v>
      </c>
      <c r="C130" s="9">
        <v>4050562.05</v>
      </c>
      <c r="D130" s="9">
        <v>-211408144.06999999</v>
      </c>
    </row>
    <row r="131" spans="1:4" x14ac:dyDescent="0.25">
      <c r="A131" s="2" t="str">
        <f>"2.4.3.01.00- LUCROS/PREJUIZOS ACUMULADOS"</f>
        <v>2.4.3.01.00- LUCROS/PREJUIZOS ACUMULADOS</v>
      </c>
      <c r="B131" s="9">
        <v>-215458706.12</v>
      </c>
      <c r="C131" s="9">
        <v>4050562.05</v>
      </c>
      <c r="D131" s="9">
        <v>-211408144.06999999</v>
      </c>
    </row>
    <row r="132" spans="1:4" x14ac:dyDescent="0.25">
      <c r="A132" s="2" t="str">
        <f>"2.4.3.01.01- Resultados de Exerc. Anteriores"</f>
        <v>2.4.3.01.01- Resultados de Exerc. Anteriores</v>
      </c>
      <c r="B132" s="9">
        <v>-210728141.31</v>
      </c>
      <c r="C132" s="9">
        <v>0</v>
      </c>
      <c r="D132" s="9">
        <v>-210728141.31</v>
      </c>
    </row>
    <row r="133" spans="1:4" x14ac:dyDescent="0.25">
      <c r="A133" s="2" t="str">
        <f>"2.4.3.01.02- Resultado deste Exercicio"</f>
        <v>2.4.3.01.02- Resultado deste Exercicio</v>
      </c>
      <c r="B133" s="9">
        <v>-4730564.8099999996</v>
      </c>
      <c r="C133" s="9">
        <v>4050562.05</v>
      </c>
      <c r="D133" s="9">
        <v>-680002.76</v>
      </c>
    </row>
    <row r="134" spans="1:4" x14ac:dyDescent="0.25">
      <c r="A134" s="2" t="str">
        <f>""</f>
        <v/>
      </c>
      <c r="B134" s="3" t="str">
        <f>""</f>
        <v/>
      </c>
      <c r="C134" s="3" t="str">
        <f>""</f>
        <v/>
      </c>
      <c r="D134" s="3" t="str">
        <f>""</f>
        <v/>
      </c>
    </row>
    <row r="135" spans="1:4" x14ac:dyDescent="0.25">
      <c r="A135" s="2" t="str">
        <f>"DESPESAS"</f>
        <v>DESPESAS</v>
      </c>
      <c r="B135" s="3" t="str">
        <f>""</f>
        <v/>
      </c>
      <c r="C135" s="3" t="str">
        <f>""</f>
        <v/>
      </c>
      <c r="D135" s="3" t="str">
        <f>""</f>
        <v/>
      </c>
    </row>
    <row r="136" spans="1:4" x14ac:dyDescent="0.25">
      <c r="A136" s="2" t="str">
        <f>"3.0.0.00.00- DESPESAS"</f>
        <v>3.0.0.00.00- DESPESAS</v>
      </c>
      <c r="B136" s="9">
        <v>48748380.460000001</v>
      </c>
      <c r="C136" s="9">
        <v>23650865.289999999</v>
      </c>
      <c r="D136" s="9">
        <v>72399245.75</v>
      </c>
    </row>
    <row r="137" spans="1:4" x14ac:dyDescent="0.25">
      <c r="A137" s="2" t="str">
        <f>"3.1.0.00.00- DESPESAS OPERACIONAIS"</f>
        <v>3.1.0.00.00- DESPESAS OPERACIONAIS</v>
      </c>
      <c r="B137" s="9">
        <v>48748380.460000001</v>
      </c>
      <c r="C137" s="9">
        <v>23650865.289999999</v>
      </c>
      <c r="D137" s="9">
        <v>72399245.75</v>
      </c>
    </row>
    <row r="138" spans="1:4" x14ac:dyDescent="0.25">
      <c r="A138" s="2" t="str">
        <f>"3.1.1.00.00- SALARIOS ADICIONAIS E HONORARIOS"</f>
        <v>3.1.1.00.00- SALARIOS ADICIONAIS E HONORARIOS</v>
      </c>
      <c r="B138" s="9">
        <v>24272590.489999998</v>
      </c>
      <c r="C138" s="9">
        <v>11493261.99</v>
      </c>
      <c r="D138" s="9">
        <v>35765852.479999997</v>
      </c>
    </row>
    <row r="139" spans="1:4" x14ac:dyDescent="0.25">
      <c r="A139" s="2" t="str">
        <f>"3.1.1.00.01- Honorarios diretoria"</f>
        <v>3.1.1.00.01- Honorarios diretoria</v>
      </c>
      <c r="B139" s="9">
        <v>138185.51</v>
      </c>
      <c r="C139" s="9">
        <v>76474.960000000006</v>
      </c>
      <c r="D139" s="9">
        <v>214660.47</v>
      </c>
    </row>
    <row r="140" spans="1:4" x14ac:dyDescent="0.25">
      <c r="A140" s="2" t="str">
        <f>"3.1.1.00.02- Honorarios conselho fiscal"</f>
        <v>3.1.1.00.02- Honorarios conselho fiscal</v>
      </c>
      <c r="B140" s="9">
        <v>17382.68</v>
      </c>
      <c r="C140" s="9">
        <v>12058.97</v>
      </c>
      <c r="D140" s="9">
        <v>29441.65</v>
      </c>
    </row>
    <row r="141" spans="1:4" x14ac:dyDescent="0.25">
      <c r="A141" s="2" t="str">
        <f>"3.1.1.00.03- Honorarios cons. administracao"</f>
        <v>3.1.1.00.03- Honorarios cons. administracao</v>
      </c>
      <c r="B141" s="9">
        <v>45997.02</v>
      </c>
      <c r="C141" s="9">
        <v>19630.88</v>
      </c>
      <c r="D141" s="9">
        <v>65627.899999999994</v>
      </c>
    </row>
    <row r="142" spans="1:4" x14ac:dyDescent="0.25">
      <c r="A142" s="2" t="str">
        <f>"3.1.1.00.04- Salarios e adicionais"</f>
        <v>3.1.1.00.04- Salarios e adicionais</v>
      </c>
      <c r="B142" s="9">
        <v>18973135.030000001</v>
      </c>
      <c r="C142" s="9">
        <v>9346956.25</v>
      </c>
      <c r="D142" s="9">
        <v>28320091.280000001</v>
      </c>
    </row>
    <row r="143" spans="1:4" x14ac:dyDescent="0.25">
      <c r="A143" s="2" t="str">
        <f>"3.1.1.00.05- Ferias e abono pecuniario"</f>
        <v>3.1.1.00.05- Ferias e abono pecuniario</v>
      </c>
      <c r="B143" s="9">
        <v>3219756.57</v>
      </c>
      <c r="C143" s="9">
        <v>1160247.69</v>
      </c>
      <c r="D143" s="9">
        <v>4380004.26</v>
      </c>
    </row>
    <row r="144" spans="1:4" x14ac:dyDescent="0.25">
      <c r="A144" s="2" t="str">
        <f>"3.1.1.00.06- Decimo terceiro salario"</f>
        <v>3.1.1.00.06- Decimo terceiro salario</v>
      </c>
      <c r="B144" s="9">
        <v>1700309.99</v>
      </c>
      <c r="C144" s="9">
        <v>773691.24</v>
      </c>
      <c r="D144" s="9">
        <v>2474001.23</v>
      </c>
    </row>
    <row r="145" spans="1:4" x14ac:dyDescent="0.25">
      <c r="A145" s="2" t="str">
        <f>"3.1.1.00.07- Indenizacoes trabalhistas"</f>
        <v>3.1.1.00.07- Indenizacoes trabalhistas</v>
      </c>
      <c r="B145" s="9">
        <v>134099.60999999999</v>
      </c>
      <c r="C145" s="9">
        <v>84750.81</v>
      </c>
      <c r="D145" s="9">
        <v>218850.42</v>
      </c>
    </row>
    <row r="146" spans="1:4" x14ac:dyDescent="0.25">
      <c r="A146" s="2" t="str">
        <f>"3.1.1.00.08- Bolsas de estagiario"</f>
        <v>3.1.1.00.08- Bolsas de estagiario</v>
      </c>
      <c r="B146" s="9">
        <v>43724.08</v>
      </c>
      <c r="C146" s="9">
        <v>19451.189999999999</v>
      </c>
      <c r="D146" s="9">
        <v>63175.27</v>
      </c>
    </row>
    <row r="147" spans="1:4" x14ac:dyDescent="0.25">
      <c r="A147" s="2" t="str">
        <f>"3.1.2.01.00- ENCARGOS SOCIAIS"</f>
        <v>3.1.2.01.00- ENCARGOS SOCIAIS</v>
      </c>
      <c r="B147" s="9">
        <v>8768681.8399999999</v>
      </c>
      <c r="C147" s="9">
        <v>4183383.67</v>
      </c>
      <c r="D147" s="9">
        <v>12952065.51</v>
      </c>
    </row>
    <row r="148" spans="1:4" x14ac:dyDescent="0.25">
      <c r="A148" s="2" t="str">
        <f>"3.1.2.01.01- INSS"</f>
        <v>3.1.2.01.01- INSS</v>
      </c>
      <c r="B148" s="9">
        <v>6813356.1200000001</v>
      </c>
      <c r="C148" s="9">
        <v>3296177.15</v>
      </c>
      <c r="D148" s="9">
        <v>10109533.27</v>
      </c>
    </row>
    <row r="149" spans="1:4" x14ac:dyDescent="0.25">
      <c r="A149" s="2" t="str">
        <f>"3.1.2.01.02- FGTS"</f>
        <v>3.1.2.01.02- FGTS</v>
      </c>
      <c r="B149" s="9">
        <v>1955325.72</v>
      </c>
      <c r="C149" s="9">
        <v>887206.52</v>
      </c>
      <c r="D149" s="9">
        <v>2842532.24</v>
      </c>
    </row>
    <row r="150" spans="1:4" x14ac:dyDescent="0.25">
      <c r="A150" s="2" t="str">
        <f>"3.1.2.02.00- OUTRAS DESPESAS COM PESSOAL"</f>
        <v>3.1.2.02.00- OUTRAS DESPESAS COM PESSOAL</v>
      </c>
      <c r="B150" s="9">
        <v>4381906.7300000004</v>
      </c>
      <c r="C150" s="9">
        <v>2205496.42</v>
      </c>
      <c r="D150" s="9">
        <v>6587403.1500000004</v>
      </c>
    </row>
    <row r="151" spans="1:4" x14ac:dyDescent="0.25">
      <c r="A151" s="2" t="str">
        <f>"3.1.2.02.01- Seguros de Vida"</f>
        <v>3.1.2.02.01- Seguros de Vida</v>
      </c>
      <c r="B151" s="9">
        <v>15903.86</v>
      </c>
      <c r="C151" s="9">
        <v>7883.17</v>
      </c>
      <c r="D151" s="9">
        <v>23787.03</v>
      </c>
    </row>
    <row r="152" spans="1:4" x14ac:dyDescent="0.25">
      <c r="A152" s="2" t="str">
        <f>"3.1.2.02.02- Ass. Medica Odontologica"</f>
        <v>3.1.2.02.02- Ass. Medica Odontologica</v>
      </c>
      <c r="B152" s="9">
        <v>1490071.32</v>
      </c>
      <c r="C152" s="9">
        <v>748428.33</v>
      </c>
      <c r="D152" s="9">
        <v>2238499.65</v>
      </c>
    </row>
    <row r="153" spans="1:4" x14ac:dyDescent="0.25">
      <c r="A153" s="2" t="str">
        <f>"3.1.2.02.03- Vale Transporte"</f>
        <v>3.1.2.02.03- Vale Transporte</v>
      </c>
      <c r="B153" s="9">
        <v>115986.32</v>
      </c>
      <c r="C153" s="9">
        <v>39204.980000000003</v>
      </c>
      <c r="D153" s="9">
        <v>155191.29999999999</v>
      </c>
    </row>
    <row r="154" spans="1:4" x14ac:dyDescent="0.25">
      <c r="A154" s="2" t="str">
        <f>"3.1.2.02.04- Vale Refeicao/Alimentacao"</f>
        <v>3.1.2.02.04- Vale Refeicao/Alimentacao</v>
      </c>
      <c r="B154" s="9">
        <v>2728010.21</v>
      </c>
      <c r="C154" s="9">
        <v>1362223.06</v>
      </c>
      <c r="D154" s="9">
        <v>4090233.27</v>
      </c>
    </row>
    <row r="155" spans="1:4" x14ac:dyDescent="0.25">
      <c r="A155" s="2" t="str">
        <f>"3.1.2.02.05- Compl. Auxilio Doenca"</f>
        <v>3.1.2.02.05- Compl. Auxilio Doenca</v>
      </c>
      <c r="B155" s="9">
        <v>4985.24</v>
      </c>
      <c r="C155" s="9">
        <v>33706.14</v>
      </c>
      <c r="D155" s="9">
        <v>38691.379999999997</v>
      </c>
    </row>
    <row r="156" spans="1:4" x14ac:dyDescent="0.25">
      <c r="A156" s="2" t="str">
        <f>"3.1.2.02.07- Auxilio Creche"</f>
        <v>3.1.2.02.07- Auxilio Creche</v>
      </c>
      <c r="B156" s="9">
        <v>26949.78</v>
      </c>
      <c r="C156" s="9">
        <v>14050.74</v>
      </c>
      <c r="D156" s="9">
        <v>41000.519999999997</v>
      </c>
    </row>
    <row r="157" spans="1:4" x14ac:dyDescent="0.25">
      <c r="A157" s="2" t="str">
        <f>"3.1.3.00.00- MATERIAIS"</f>
        <v>3.1.3.00.00- MATERIAIS</v>
      </c>
      <c r="B157" s="9">
        <v>83385.179999999993</v>
      </c>
      <c r="C157" s="9">
        <v>43877.29</v>
      </c>
      <c r="D157" s="9">
        <v>127262.47</v>
      </c>
    </row>
    <row r="158" spans="1:4" x14ac:dyDescent="0.25">
      <c r="A158" s="2" t="str">
        <f>"3.1.3.00.09- Material limp/conserv/copa/cozin"</f>
        <v>3.1.3.00.09- Material limp/conserv/copa/cozin</v>
      </c>
      <c r="B158" s="9">
        <v>29241.200000000001</v>
      </c>
      <c r="C158" s="9">
        <v>14055.8</v>
      </c>
      <c r="D158" s="9">
        <v>43297</v>
      </c>
    </row>
    <row r="159" spans="1:4" x14ac:dyDescent="0.25">
      <c r="A159" s="2" t="str">
        <f>"3.1.3.00.10- Impressos e material de escritorio"</f>
        <v>3.1.3.00.10- Impressos e material de escritorio</v>
      </c>
      <c r="B159" s="9">
        <v>7440.33</v>
      </c>
      <c r="C159" s="9">
        <v>25176.68</v>
      </c>
      <c r="D159" s="9">
        <v>32617.01</v>
      </c>
    </row>
    <row r="160" spans="1:4" x14ac:dyDescent="0.25">
      <c r="A160" s="2" t="str">
        <f>"3.1.3.00.11- Materiais manut. inst. prediais"</f>
        <v>3.1.3.00.11- Materiais manut. inst. prediais</v>
      </c>
      <c r="B160" s="9">
        <v>24293.3</v>
      </c>
      <c r="C160" s="9">
        <v>4204.8100000000004</v>
      </c>
      <c r="D160" s="9">
        <v>28498.11</v>
      </c>
    </row>
    <row r="161" spans="1:4" x14ac:dyDescent="0.25">
      <c r="A161" s="2" t="str">
        <f>"3.1.3.00.15- Materiais e supriment informatic"</f>
        <v>3.1.3.00.15- Materiais e supriment informatic</v>
      </c>
      <c r="B161" s="9">
        <v>21570.35</v>
      </c>
      <c r="C161" s="9">
        <v>0</v>
      </c>
      <c r="D161" s="9">
        <v>21570.35</v>
      </c>
    </row>
    <row r="162" spans="1:4" x14ac:dyDescent="0.25">
      <c r="A162" s="2" t="str">
        <f>"3.1.3.00.99- Outros materiais"</f>
        <v>3.1.3.00.99- Outros materiais</v>
      </c>
      <c r="B162" s="9">
        <v>840</v>
      </c>
      <c r="C162" s="9">
        <v>440</v>
      </c>
      <c r="D162" s="9">
        <v>1280</v>
      </c>
    </row>
    <row r="163" spans="1:4" x14ac:dyDescent="0.25">
      <c r="A163" s="2" t="str">
        <f>"3.1.4.00.00- SERVICOS PRESTADOS POR TERCEIROS"</f>
        <v>3.1.4.00.00- SERVICOS PRESTADOS POR TERCEIROS</v>
      </c>
      <c r="B163" s="9">
        <v>9734541</v>
      </c>
      <c r="C163" s="9">
        <v>4719847.84</v>
      </c>
      <c r="D163" s="9">
        <v>14454388.84</v>
      </c>
    </row>
    <row r="164" spans="1:4" x14ac:dyDescent="0.25">
      <c r="A164" s="2" t="str">
        <f>"3.1.4.00.01- Consultoria"</f>
        <v>3.1.4.00.01- Consultoria</v>
      </c>
      <c r="B164" s="9">
        <v>6839.1</v>
      </c>
      <c r="C164" s="9">
        <v>2357.0500000000002</v>
      </c>
      <c r="D164" s="9">
        <v>9196.15</v>
      </c>
    </row>
    <row r="165" spans="1:4" x14ac:dyDescent="0.25">
      <c r="A165" s="2" t="str">
        <f>"3.1.4.00.02- Locacao de veiculos"</f>
        <v>3.1.4.00.02- Locacao de veiculos</v>
      </c>
      <c r="B165" s="9">
        <v>13550.16</v>
      </c>
      <c r="C165" s="9">
        <v>6775.08</v>
      </c>
      <c r="D165" s="9">
        <v>20325.240000000002</v>
      </c>
    </row>
    <row r="166" spans="1:4" x14ac:dyDescent="0.25">
      <c r="A166" s="2" t="str">
        <f>"3.1.4.00.03- Locacao de equipamentos"</f>
        <v>3.1.4.00.03- Locacao de equipamentos</v>
      </c>
      <c r="B166" s="9">
        <v>11146.64</v>
      </c>
      <c r="C166" s="9">
        <v>6435.1</v>
      </c>
      <c r="D166" s="9">
        <v>17581.740000000002</v>
      </c>
    </row>
    <row r="167" spans="1:4" x14ac:dyDescent="0.25">
      <c r="A167" s="2" t="str">
        <f>"3.1.4.00.10- Mao de obra contratada"</f>
        <v>3.1.4.00.10- Mao de obra contratada</v>
      </c>
      <c r="B167" s="9">
        <v>7989219.1399999997</v>
      </c>
      <c r="C167" s="9">
        <v>3904451.87</v>
      </c>
      <c r="D167" s="9">
        <v>11893671.01</v>
      </c>
    </row>
    <row r="168" spans="1:4" x14ac:dyDescent="0.25">
      <c r="A168" s="2" t="str">
        <f>"3.1.4.00.13- Publicidade e divulgacao"</f>
        <v>3.1.4.00.13- Publicidade e divulgacao</v>
      </c>
      <c r="B168" s="9">
        <v>2684</v>
      </c>
      <c r="C168" s="9">
        <v>1760</v>
      </c>
      <c r="D168" s="9">
        <v>4444</v>
      </c>
    </row>
    <row r="169" spans="1:4" x14ac:dyDescent="0.25">
      <c r="A169" s="2" t="str">
        <f>"3.1.4.00.14- Informatica-serv. e/ou locacao"</f>
        <v>3.1.4.00.14- Informatica-serv. e/ou locacao</v>
      </c>
      <c r="B169" s="9">
        <v>570725.15</v>
      </c>
      <c r="C169" s="9">
        <v>214954.71</v>
      </c>
      <c r="D169" s="9">
        <v>785679.86</v>
      </c>
    </row>
    <row r="170" spans="1:4" x14ac:dyDescent="0.25">
      <c r="A170" s="2" t="str">
        <f>"3.1.4.00.15- Outros serv. prestados - PF"</f>
        <v>3.1.4.00.15- Outros serv. prestados - PF</v>
      </c>
      <c r="B170" s="9">
        <v>42114.45</v>
      </c>
      <c r="C170" s="9">
        <v>1711.46</v>
      </c>
      <c r="D170" s="9">
        <v>43825.91</v>
      </c>
    </row>
    <row r="171" spans="1:4" x14ac:dyDescent="0.25">
      <c r="A171" s="2" t="str">
        <f>"3.1.4.00.16- Outros serv. Prestados - PJ"</f>
        <v>3.1.4.00.16- Outros serv. Prestados - PJ</v>
      </c>
      <c r="B171" s="9">
        <v>179455.74</v>
      </c>
      <c r="C171" s="9">
        <v>91931.06</v>
      </c>
      <c r="D171" s="9">
        <v>271386.8</v>
      </c>
    </row>
    <row r="172" spans="1:4" x14ac:dyDescent="0.25">
      <c r="A172" s="2" t="str">
        <f>"3.1.4.00.17- Servicos postais"</f>
        <v>3.1.4.00.17- Servicos postais</v>
      </c>
      <c r="B172" s="9">
        <v>25368.42</v>
      </c>
      <c r="C172" s="9">
        <v>5456.48</v>
      </c>
      <c r="D172" s="9">
        <v>30824.9</v>
      </c>
    </row>
    <row r="173" spans="1:4" x14ac:dyDescent="0.25">
      <c r="A173" s="2" t="str">
        <f>"3.1.4.00.19- Manut. imoveis/instal/equip.oper"</f>
        <v>3.1.4.00.19- Manut. imoveis/instal/equip.oper</v>
      </c>
      <c r="B173" s="9">
        <v>0</v>
      </c>
      <c r="C173" s="9">
        <v>30479.13</v>
      </c>
      <c r="D173" s="9">
        <v>30479.13</v>
      </c>
    </row>
    <row r="174" spans="1:4" x14ac:dyDescent="0.25">
      <c r="A174" s="2" t="str">
        <f>"3.1.4.00.26- Serv.limp.conserv."</f>
        <v>3.1.4.00.26- Serv.limp.conserv.</v>
      </c>
      <c r="B174" s="9">
        <v>538254.43999999994</v>
      </c>
      <c r="C174" s="9">
        <v>287389.23</v>
      </c>
      <c r="D174" s="9">
        <v>825643.67</v>
      </c>
    </row>
    <row r="175" spans="1:4" x14ac:dyDescent="0.25">
      <c r="A175" s="2" t="str">
        <f>"3.1.4.00.33- Vale Ref./Al.terceir."</f>
        <v>3.1.4.00.33- Vale Ref./Al.terceir.</v>
      </c>
      <c r="B175" s="9">
        <v>190963.46</v>
      </c>
      <c r="C175" s="9">
        <v>0</v>
      </c>
      <c r="D175" s="9">
        <v>190963.46</v>
      </c>
    </row>
    <row r="176" spans="1:4" x14ac:dyDescent="0.25">
      <c r="A176" s="2" t="str">
        <f>"3.1.4.00.36- (-) Desconto ISSQN conf Lei 9145 serv. P"</f>
        <v>3.1.4.00.36- (-) Desconto ISSQN conf Lei 9145 serv. P</v>
      </c>
      <c r="B176" s="9">
        <v>-3341.25</v>
      </c>
      <c r="C176" s="9">
        <v>-1677.92</v>
      </c>
      <c r="D176" s="9">
        <v>-5019.17</v>
      </c>
    </row>
    <row r="177" spans="1:4" x14ac:dyDescent="0.25">
      <c r="A177" s="2" t="str">
        <f>"3.1.4.00.39- Convênio Guarda Municipal"</f>
        <v>3.1.4.00.39- Convênio Guarda Municipal</v>
      </c>
      <c r="B177" s="9">
        <v>167561.54999999999</v>
      </c>
      <c r="C177" s="9">
        <v>167824.59</v>
      </c>
      <c r="D177" s="9">
        <v>335386.14</v>
      </c>
    </row>
    <row r="178" spans="1:4" x14ac:dyDescent="0.25">
      <c r="A178" s="2" t="str">
        <f>"3.1.5.00.00- TARIFAS PUBLICAS"</f>
        <v>3.1.5.00.00- TARIFAS PUBLICAS</v>
      </c>
      <c r="B178" s="9">
        <v>271485.88</v>
      </c>
      <c r="C178" s="9">
        <v>125904.83</v>
      </c>
      <c r="D178" s="9">
        <v>397390.71</v>
      </c>
    </row>
    <row r="179" spans="1:4" x14ac:dyDescent="0.25">
      <c r="A179" s="2" t="str">
        <f>"3.1.5.00.02- Energia eletrica"</f>
        <v>3.1.5.00.02- Energia eletrica</v>
      </c>
      <c r="B179" s="9">
        <v>1699.12</v>
      </c>
      <c r="C179" s="9">
        <v>739.07</v>
      </c>
      <c r="D179" s="9">
        <v>2438.19</v>
      </c>
    </row>
    <row r="180" spans="1:4" x14ac:dyDescent="0.25">
      <c r="A180" s="2" t="str">
        <f>"3.1.5.00.03- Telefone"</f>
        <v>3.1.5.00.03- Telefone</v>
      </c>
      <c r="B180" s="9">
        <v>95184.86</v>
      </c>
      <c r="C180" s="9">
        <v>21783.79</v>
      </c>
      <c r="D180" s="9">
        <v>116968.65</v>
      </c>
    </row>
    <row r="181" spans="1:4" x14ac:dyDescent="0.25">
      <c r="A181" s="2" t="str">
        <f>"3.1.5.00.04- Copasa/FMS"</f>
        <v>3.1.5.00.04- Copasa/FMS</v>
      </c>
      <c r="B181" s="9">
        <v>174601.9</v>
      </c>
      <c r="C181" s="9">
        <v>103381.97</v>
      </c>
      <c r="D181" s="9">
        <v>277983.87</v>
      </c>
    </row>
    <row r="182" spans="1:4" x14ac:dyDescent="0.25">
      <c r="A182" s="2" t="str">
        <f>"3.1.6.00.00- DESPESAS TRIBUTARIAS"</f>
        <v>3.1.6.00.00- DESPESAS TRIBUTARIAS</v>
      </c>
      <c r="B182" s="9">
        <v>446517.33</v>
      </c>
      <c r="C182" s="9">
        <v>475487.56</v>
      </c>
      <c r="D182" s="9">
        <v>922004.89</v>
      </c>
    </row>
    <row r="183" spans="1:4" x14ac:dyDescent="0.25">
      <c r="A183" s="2" t="str">
        <f>"3.1.6.00.01- Taxas legais"</f>
        <v>3.1.6.00.01- Taxas legais</v>
      </c>
      <c r="B183" s="9">
        <v>509.48</v>
      </c>
      <c r="C183" s="9">
        <v>487.68</v>
      </c>
      <c r="D183" s="9">
        <v>997.16</v>
      </c>
    </row>
    <row r="184" spans="1:4" x14ac:dyDescent="0.25">
      <c r="A184" s="2" t="str">
        <f>"3.1.6.00.03- IOF"</f>
        <v>3.1.6.00.03- IOF</v>
      </c>
      <c r="B184" s="9">
        <v>6897.05</v>
      </c>
      <c r="C184" s="9">
        <v>4546.3100000000004</v>
      </c>
      <c r="D184" s="9">
        <v>11443.36</v>
      </c>
    </row>
    <row r="185" spans="1:4" x14ac:dyDescent="0.25">
      <c r="A185" s="2" t="str">
        <f>"3.1.6.00.05- Contrib. Social s/lucro liquido"</f>
        <v>3.1.6.00.05- Contrib. Social s/lucro liquido</v>
      </c>
      <c r="B185" s="9">
        <v>0</v>
      </c>
      <c r="C185" s="9">
        <v>90299.12</v>
      </c>
      <c r="D185" s="9">
        <v>90299.12</v>
      </c>
    </row>
    <row r="186" spans="1:4" x14ac:dyDescent="0.25">
      <c r="A186" s="2" t="str">
        <f>"3.1.6.00.06- PIS"</f>
        <v>3.1.6.00.06- PIS</v>
      </c>
      <c r="B186" s="9">
        <v>72565.02</v>
      </c>
      <c r="C186" s="9">
        <v>64952.49</v>
      </c>
      <c r="D186" s="9">
        <v>137517.51</v>
      </c>
    </row>
    <row r="187" spans="1:4" x14ac:dyDescent="0.25">
      <c r="A187" s="2" t="str">
        <f>"3.1.6.00.07- COFINS"</f>
        <v>3.1.6.00.07- COFINS</v>
      </c>
      <c r="B187" s="9">
        <v>334238.88</v>
      </c>
      <c r="C187" s="9">
        <v>299175.09999999998</v>
      </c>
      <c r="D187" s="9">
        <v>633413.98</v>
      </c>
    </row>
    <row r="188" spans="1:4" x14ac:dyDescent="0.25">
      <c r="A188" s="2" t="str">
        <f>"3.1.6.00.14- Contrib.entid.classe"</f>
        <v>3.1.6.00.14- Contrib.entid.classe</v>
      </c>
      <c r="B188" s="9">
        <v>5659.93</v>
      </c>
      <c r="C188" s="9">
        <v>108.39</v>
      </c>
      <c r="D188" s="9">
        <v>5768.32</v>
      </c>
    </row>
    <row r="189" spans="1:4" x14ac:dyDescent="0.25">
      <c r="A189" s="2" t="str">
        <f>"3.1.6.00.15- INSS Serv.terceiros"</f>
        <v>3.1.6.00.15- INSS Serv.terceiros</v>
      </c>
      <c r="B189" s="9">
        <v>8423.01</v>
      </c>
      <c r="C189" s="9">
        <v>4362.84</v>
      </c>
      <c r="D189" s="9">
        <v>12785.85</v>
      </c>
    </row>
    <row r="190" spans="1:4" x14ac:dyDescent="0.25">
      <c r="A190" s="2" t="str">
        <f>"3.1.6.00.17- PIS s/ receitas financeiras"</f>
        <v>3.1.6.00.17- PIS s/ receitas financeiras</v>
      </c>
      <c r="B190" s="9">
        <v>2547.44</v>
      </c>
      <c r="C190" s="9">
        <v>1615.3</v>
      </c>
      <c r="D190" s="9">
        <v>4162.74</v>
      </c>
    </row>
    <row r="191" spans="1:4" x14ac:dyDescent="0.25">
      <c r="A191" s="2" t="str">
        <f>"3.1.6.00.18- Cofins s/ receitas financeiras"</f>
        <v>3.1.6.00.18- Cofins s/ receitas financeiras</v>
      </c>
      <c r="B191" s="9">
        <v>15676.52</v>
      </c>
      <c r="C191" s="9">
        <v>9940.33</v>
      </c>
      <c r="D191" s="9">
        <v>25616.85</v>
      </c>
    </row>
    <row r="192" spans="1:4" x14ac:dyDescent="0.25">
      <c r="A192" s="2" t="str">
        <f>"3.1.7.00.00- DESPESAS FINANCEIRAS"</f>
        <v>3.1.7.00.00- DESPESAS FINANCEIRAS</v>
      </c>
      <c r="B192" s="9">
        <v>246.92</v>
      </c>
      <c r="C192" s="9">
        <v>2025.67</v>
      </c>
      <c r="D192" s="9">
        <v>2272.59</v>
      </c>
    </row>
    <row r="193" spans="1:4" x14ac:dyDescent="0.25">
      <c r="A193" s="2" t="str">
        <f>"3.1.7.01.01- Juros passivos curto prazo"</f>
        <v>3.1.7.01.01- Juros passivos curto prazo</v>
      </c>
      <c r="B193" s="9">
        <v>0</v>
      </c>
      <c r="C193" s="9">
        <v>1805.98</v>
      </c>
      <c r="D193" s="9">
        <v>1805.98</v>
      </c>
    </row>
    <row r="194" spans="1:4" x14ac:dyDescent="0.25">
      <c r="A194" s="2" t="str">
        <f>"3.1.7.01.02- Despesas bancarias"</f>
        <v>3.1.7.01.02- Despesas bancarias</v>
      </c>
      <c r="B194" s="9">
        <v>246.92</v>
      </c>
      <c r="C194" s="9">
        <v>219.69</v>
      </c>
      <c r="D194" s="9">
        <v>466.61</v>
      </c>
    </row>
    <row r="195" spans="1:4" x14ac:dyDescent="0.25">
      <c r="A195" s="2" t="str">
        <f>"3.1.8.00.00- OUTRAS DESPESAS"</f>
        <v>3.1.8.00.00- OUTRAS DESPESAS</v>
      </c>
      <c r="B195" s="9">
        <v>789025.09</v>
      </c>
      <c r="C195" s="9">
        <v>401580.02</v>
      </c>
      <c r="D195" s="9">
        <v>1190605.1100000001</v>
      </c>
    </row>
    <row r="196" spans="1:4" x14ac:dyDescent="0.25">
      <c r="A196" s="2" t="str">
        <f>"3.1.8.00.01- Despesas de viagem"</f>
        <v>3.1.8.00.01- Despesas de viagem</v>
      </c>
      <c r="B196" s="9">
        <v>3791.97</v>
      </c>
      <c r="C196" s="9">
        <v>5891.06</v>
      </c>
      <c r="D196" s="9">
        <v>9683.0300000000007</v>
      </c>
    </row>
    <row r="197" spans="1:4" x14ac:dyDescent="0.25">
      <c r="A197" s="2" t="str">
        <f>"3.1.8.00.05- Depreciacao/amort"</f>
        <v>3.1.8.00.05- Depreciacao/amort</v>
      </c>
      <c r="B197" s="9">
        <v>50381.83</v>
      </c>
      <c r="C197" s="9">
        <v>25162.29</v>
      </c>
      <c r="D197" s="9">
        <v>75544.12</v>
      </c>
    </row>
    <row r="198" spans="1:4" x14ac:dyDescent="0.25">
      <c r="A198" s="2" t="str">
        <f>"3.1.8.00.06- Seguros bens moveis e imoveis"</f>
        <v>3.1.8.00.06- Seguros bens moveis e imoveis</v>
      </c>
      <c r="B198" s="9">
        <v>4747.6400000000003</v>
      </c>
      <c r="C198" s="9">
        <v>2420.5100000000002</v>
      </c>
      <c r="D198" s="9">
        <v>7168.15</v>
      </c>
    </row>
    <row r="199" spans="1:4" x14ac:dyDescent="0.25">
      <c r="A199" s="2" t="str">
        <f>"3.1.8.00.19- Premios do concurso de video"</f>
        <v>3.1.8.00.19- Premios do concurso de video</v>
      </c>
      <c r="B199" s="9">
        <v>0</v>
      </c>
      <c r="C199" s="9">
        <v>12000</v>
      </c>
      <c r="D199" s="9">
        <v>12000</v>
      </c>
    </row>
    <row r="200" spans="1:4" x14ac:dyDescent="0.25">
      <c r="A200" s="2" t="str">
        <f>"3.1.8.00.21- Perdas no recebimento de credito"</f>
        <v>3.1.8.00.21- Perdas no recebimento de credito</v>
      </c>
      <c r="B200" s="9">
        <v>0</v>
      </c>
      <c r="C200" s="9">
        <v>22054.71</v>
      </c>
      <c r="D200" s="9">
        <v>22054.71</v>
      </c>
    </row>
    <row r="201" spans="1:4" x14ac:dyDescent="0.25">
      <c r="A201" s="2" t="str">
        <f>"3.1.8.00.23- Custas/Despesas Judiciais"</f>
        <v>3.1.8.00.23- Custas/Despesas Judiciais</v>
      </c>
      <c r="B201" s="9">
        <v>35664.61</v>
      </c>
      <c r="C201" s="9">
        <v>4219.5600000000004</v>
      </c>
      <c r="D201" s="9">
        <v>39884.17</v>
      </c>
    </row>
    <row r="202" spans="1:4" x14ac:dyDescent="0.25">
      <c r="A202" s="2" t="str">
        <f>"3.1.8.00.30- Estacionamento Rotativo Digital"</f>
        <v>3.1.8.00.30- Estacionamento Rotativo Digital</v>
      </c>
      <c r="B202" s="9">
        <v>688642.74</v>
      </c>
      <c r="C202" s="9">
        <v>328823.52</v>
      </c>
      <c r="D202" s="9">
        <v>1017466.26</v>
      </c>
    </row>
    <row r="203" spans="1:4" x14ac:dyDescent="0.25">
      <c r="A203" s="2" t="str">
        <f>"3.1.8.00.99- Despesas diversas"</f>
        <v>3.1.8.00.99- Despesas diversas</v>
      </c>
      <c r="B203" s="9">
        <v>5796.3</v>
      </c>
      <c r="C203" s="9">
        <v>1008.37</v>
      </c>
      <c r="D203" s="9">
        <v>6804.67</v>
      </c>
    </row>
    <row r="204" spans="1:4" x14ac:dyDescent="0.25">
      <c r="A204" s="2" t="str">
        <f>""</f>
        <v/>
      </c>
      <c r="B204" s="3" t="str">
        <f>""</f>
        <v/>
      </c>
      <c r="C204" s="3" t="str">
        <f>""</f>
        <v/>
      </c>
      <c r="D204" s="3" t="str">
        <f>""</f>
        <v/>
      </c>
    </row>
    <row r="205" spans="1:4" x14ac:dyDescent="0.25">
      <c r="A205" s="2" t="str">
        <f>"RECEITAS"</f>
        <v>RECEITAS</v>
      </c>
      <c r="B205" s="3" t="str">
        <f>""</f>
        <v/>
      </c>
      <c r="C205" s="3" t="str">
        <f>""</f>
        <v/>
      </c>
      <c r="D205" s="3" t="str">
        <f>""</f>
        <v/>
      </c>
    </row>
    <row r="206" spans="1:4" x14ac:dyDescent="0.25">
      <c r="A206" s="2" t="str">
        <f>"4.0.0.00.00- RECEITAS"</f>
        <v>4.0.0.00.00- RECEITAS</v>
      </c>
      <c r="B206" s="9">
        <v>44017815.649999999</v>
      </c>
      <c r="C206" s="9">
        <v>27701427.34</v>
      </c>
      <c r="D206" s="9">
        <v>71719242.989999995</v>
      </c>
    </row>
    <row r="207" spans="1:4" x14ac:dyDescent="0.25">
      <c r="A207" s="2" t="str">
        <f>"4.1.0.00.00- RECEITAS BHTRANS"</f>
        <v>4.1.0.00.00- RECEITAS BHTRANS</v>
      </c>
      <c r="B207" s="9">
        <v>4197013.17</v>
      </c>
      <c r="C207" s="9">
        <v>3848732.43</v>
      </c>
      <c r="D207" s="9">
        <v>8045745.5999999996</v>
      </c>
    </row>
    <row r="208" spans="1:4" x14ac:dyDescent="0.25">
      <c r="A208" s="2" t="str">
        <f>"4.1.1.00.00- RECEITAS OPERACIONAIS"</f>
        <v>4.1.1.00.00- RECEITAS OPERACIONAIS</v>
      </c>
      <c r="B208" s="9">
        <v>3885750</v>
      </c>
      <c r="C208" s="9">
        <v>3638250</v>
      </c>
      <c r="D208" s="9">
        <v>7524000</v>
      </c>
    </row>
    <row r="209" spans="1:4" x14ac:dyDescent="0.25">
      <c r="A209" s="2" t="str">
        <f>"4.1.1.00.21- Estacionamento Rotativo Digital"</f>
        <v>4.1.1.00.21- Estacionamento Rotativo Digital</v>
      </c>
      <c r="B209" s="9">
        <v>3885750</v>
      </c>
      <c r="C209" s="9">
        <v>3638250</v>
      </c>
      <c r="D209" s="9">
        <v>7524000</v>
      </c>
    </row>
    <row r="210" spans="1:4" x14ac:dyDescent="0.25">
      <c r="A210" s="2" t="str">
        <f>"4.1.8.00.00- RECEITAS ALUGUEIS ESTACOES"</f>
        <v>4.1.8.00.00- RECEITAS ALUGUEIS ESTACOES</v>
      </c>
      <c r="B210" s="9">
        <v>311263.17</v>
      </c>
      <c r="C210" s="9">
        <v>210482.43</v>
      </c>
      <c r="D210" s="9">
        <v>521745.6</v>
      </c>
    </row>
    <row r="211" spans="1:4" x14ac:dyDescent="0.25">
      <c r="A211" s="2" t="str">
        <f>"4.1.8.00.01- Alugueis Estacoes"</f>
        <v>4.1.8.00.01- Alugueis Estacoes</v>
      </c>
      <c r="B211" s="9">
        <v>311263.17</v>
      </c>
      <c r="C211" s="9">
        <v>210482.43</v>
      </c>
      <c r="D211" s="9">
        <v>521745.6</v>
      </c>
    </row>
    <row r="212" spans="1:4" x14ac:dyDescent="0.25">
      <c r="A212" s="2" t="str">
        <f>"4.2.0.00.00- RECEITAS FINANCEIRAS"</f>
        <v>4.2.0.00.00- RECEITAS FINANCEIRAS</v>
      </c>
      <c r="B212" s="9">
        <v>391913</v>
      </c>
      <c r="C212" s="9">
        <v>248508.24</v>
      </c>
      <c r="D212" s="9">
        <v>640421.24</v>
      </c>
    </row>
    <row r="213" spans="1:4" x14ac:dyDescent="0.25">
      <c r="A213" s="2" t="str">
        <f>"4.2.1.00.00- RECEITAS FINANCEIRAS"</f>
        <v>4.2.1.00.00- RECEITAS FINANCEIRAS</v>
      </c>
      <c r="B213" s="9">
        <v>391913</v>
      </c>
      <c r="C213" s="9">
        <v>248508.24</v>
      </c>
      <c r="D213" s="9">
        <v>640421.24</v>
      </c>
    </row>
    <row r="214" spans="1:4" x14ac:dyDescent="0.25">
      <c r="A214" s="2" t="str">
        <f>"4.2.1.00.01- Rendimentos aplic. Financeira"</f>
        <v>4.2.1.00.01- Rendimentos aplic. Financeira</v>
      </c>
      <c r="B214" s="9">
        <v>391650.94</v>
      </c>
      <c r="C214" s="9">
        <v>248508.24</v>
      </c>
      <c r="D214" s="9">
        <v>640159.18000000005</v>
      </c>
    </row>
    <row r="215" spans="1:4" x14ac:dyDescent="0.25">
      <c r="A215" s="2" t="str">
        <f>"4.2.1.00.05- Receitas Financeiras"</f>
        <v>4.2.1.00.05- Receitas Financeiras</v>
      </c>
      <c r="B215" s="9">
        <v>262.06</v>
      </c>
      <c r="C215" s="9">
        <v>0</v>
      </c>
      <c r="D215" s="9">
        <v>262.06</v>
      </c>
    </row>
    <row r="216" spans="1:4" x14ac:dyDescent="0.25">
      <c r="A216" s="2" t="str">
        <f>"4.3.0.00.00- OUTRAS RECEITAS"</f>
        <v>4.3.0.00.00- OUTRAS RECEITAS</v>
      </c>
      <c r="B216" s="9">
        <v>39428889.479999997</v>
      </c>
      <c r="C216" s="9">
        <v>23604186.670000002</v>
      </c>
      <c r="D216" s="9">
        <v>63033076.149999999</v>
      </c>
    </row>
    <row r="217" spans="1:4" x14ac:dyDescent="0.25">
      <c r="A217" s="2" t="str">
        <f>"4.3.1.00.00- OUTRAS RECEITAS"</f>
        <v>4.3.1.00.00- OUTRAS RECEITAS</v>
      </c>
      <c r="B217" s="9">
        <v>39428889.479999997</v>
      </c>
      <c r="C217" s="9">
        <v>23604186.670000002</v>
      </c>
      <c r="D217" s="9">
        <v>63033076.149999999</v>
      </c>
    </row>
    <row r="218" spans="1:4" x14ac:dyDescent="0.25">
      <c r="A218" s="2" t="str">
        <f>"4.3.1.00.04- Receitas Diversas"</f>
        <v>4.3.1.00.04- Receitas Diversas</v>
      </c>
      <c r="B218" s="9">
        <v>200866.76</v>
      </c>
      <c r="C218" s="9">
        <v>87782.09</v>
      </c>
      <c r="D218" s="9">
        <v>288648.84999999998</v>
      </c>
    </row>
    <row r="219" spans="1:4" x14ac:dyDescent="0.25">
      <c r="A219" s="2" t="str">
        <f>"4.3.1.00.10- Outras Receitas- Subvenção Econ. Custeio"</f>
        <v>4.3.1.00.10- Outras Receitas- Subvenção Econ. Custeio</v>
      </c>
      <c r="B219" s="9">
        <v>39228022.719999999</v>
      </c>
      <c r="C219" s="9">
        <v>23516404.579999998</v>
      </c>
      <c r="D219" s="9">
        <v>62744427.299999997</v>
      </c>
    </row>
    <row r="220" spans="1:4" x14ac:dyDescent="0.25">
      <c r="A220" s="2" t="str">
        <f>""</f>
        <v/>
      </c>
      <c r="B220" s="3" t="str">
        <f>""</f>
        <v/>
      </c>
      <c r="C220" s="3" t="str">
        <f>""</f>
        <v/>
      </c>
      <c r="D220" s="3" t="str">
        <f>""</f>
        <v/>
      </c>
    </row>
    <row r="221" spans="1:4" x14ac:dyDescent="0.25">
      <c r="A221" s="2" t="str">
        <f>"APURACAO DE RESULTADOS"</f>
        <v>APURACAO DE RESULTADOS</v>
      </c>
      <c r="B221" s="3" t="str">
        <f>""</f>
        <v/>
      </c>
      <c r="C221" s="3" t="str">
        <f>""</f>
        <v/>
      </c>
      <c r="D221" s="3" t="str">
        <f>""</f>
        <v/>
      </c>
    </row>
    <row r="222" spans="1:4" x14ac:dyDescent="0.25">
      <c r="A222" s="2" t="str">
        <f>"5.0.0.00.00- APURACAO DE RESULTADOS"</f>
        <v>5.0.0.00.00- APURACAO DE RESULTADOS</v>
      </c>
      <c r="B222" s="9">
        <v>-4730564.8099999996</v>
      </c>
      <c r="C222" s="9">
        <v>4050562.05</v>
      </c>
      <c r="D222" s="9">
        <v>-680002.76</v>
      </c>
    </row>
    <row r="223" spans="1:4" x14ac:dyDescent="0.25">
      <c r="A223" s="2" t="str">
        <f>"5.1.0.00.00- APURACAO DE RESULTADOS"</f>
        <v>5.1.0.00.00- APURACAO DE RESULTADOS</v>
      </c>
      <c r="B223" s="9">
        <v>-4730564.8099999996</v>
      </c>
      <c r="C223" s="9">
        <v>4050562.05</v>
      </c>
      <c r="D223" s="9">
        <v>-680002.76</v>
      </c>
    </row>
    <row r="224" spans="1:4" x14ac:dyDescent="0.25">
      <c r="A224" s="2" t="str">
        <f>"5.1.1.00.00- APURACAO DE RESULTADOS"</f>
        <v>5.1.1.00.00- APURACAO DE RESULTADOS</v>
      </c>
      <c r="B224" s="9">
        <v>-4730564.8099999996</v>
      </c>
      <c r="C224" s="9">
        <v>4050562.05</v>
      </c>
      <c r="D224" s="9">
        <v>-680002.76</v>
      </c>
    </row>
    <row r="225" spans="1:4" x14ac:dyDescent="0.25">
      <c r="A225" s="2" t="str">
        <f>"5.1.1.00.01- Transferencia das Despesas"</f>
        <v>5.1.1.00.01- Transferencia das Despesas</v>
      </c>
      <c r="B225" s="9">
        <v>-48748380.460000001</v>
      </c>
      <c r="C225" s="9">
        <v>-23650865.289999999</v>
      </c>
      <c r="D225" s="9">
        <v>-72399245.75</v>
      </c>
    </row>
    <row r="226" spans="1:4" ht="15.75" thickBot="1" x14ac:dyDescent="0.3">
      <c r="A226" s="4" t="str">
        <f>"5.1.1.00.02- Transferencia das Receitas"</f>
        <v>5.1.1.00.02- Transferencia das Receitas</v>
      </c>
      <c r="B226" s="10">
        <v>44017815.649999999</v>
      </c>
      <c r="C226" s="10">
        <v>27701427.34</v>
      </c>
      <c r="D226" s="10">
        <v>71719242.989999995</v>
      </c>
    </row>
    <row r="227" spans="1:4" x14ac:dyDescent="0.25">
      <c r="A227" t="s">
        <v>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4C884-7C2E-42C4-8D02-570AC4BACB75}">
  <dimension ref="A1:D232"/>
  <sheetViews>
    <sheetView workbookViewId="0">
      <selection activeCell="I9" sqref="I9"/>
    </sheetView>
  </sheetViews>
  <sheetFormatPr defaultRowHeight="15" x14ac:dyDescent="0.25"/>
  <cols>
    <col min="1" max="1" width="71.5703125" bestFit="1" customWidth="1"/>
    <col min="2" max="2" width="14.5703125" bestFit="1" customWidth="1"/>
    <col min="3" max="3" width="14.28515625" bestFit="1" customWidth="1"/>
    <col min="4" max="4" width="14.5703125" bestFit="1" customWidth="1"/>
  </cols>
  <sheetData>
    <row r="1" spans="1:4" ht="19.5" thickBot="1" x14ac:dyDescent="0.35">
      <c r="A1" s="1" t="s">
        <v>8</v>
      </c>
      <c r="B1" s="1"/>
      <c r="C1" s="1"/>
      <c r="D1" s="1"/>
    </row>
    <row r="2" spans="1:4" ht="15.75" thickBot="1" x14ac:dyDescent="0.3">
      <c r="A2" s="7" t="s">
        <v>0</v>
      </c>
      <c r="B2" s="8" t="s">
        <v>1</v>
      </c>
      <c r="C2" s="8" t="s">
        <v>2</v>
      </c>
      <c r="D2" s="8" t="s">
        <v>3</v>
      </c>
    </row>
    <row r="3" spans="1:4" x14ac:dyDescent="0.25">
      <c r="A3" s="5" t="str">
        <f>"ATIVO"</f>
        <v>ATIVO</v>
      </c>
      <c r="B3" s="6" t="str">
        <f>""</f>
        <v/>
      </c>
      <c r="C3" s="6" t="str">
        <f>""</f>
        <v/>
      </c>
      <c r="D3" s="6" t="str">
        <f>""</f>
        <v/>
      </c>
    </row>
    <row r="4" spans="1:4" x14ac:dyDescent="0.25">
      <c r="A4" s="2" t="str">
        <f>"1.0.0.00.00- ATIVO"</f>
        <v>1.0.0.00.00- ATIVO</v>
      </c>
      <c r="B4" s="9">
        <v>64617017.100000001</v>
      </c>
      <c r="C4" s="9">
        <v>2814676.33</v>
      </c>
      <c r="D4" s="9">
        <v>67431693.430000007</v>
      </c>
    </row>
    <row r="5" spans="1:4" x14ac:dyDescent="0.25">
      <c r="A5" s="2" t="str">
        <f>"1.1.0.00.00- ATIVO CIRCULANTE"</f>
        <v>1.1.0.00.00- ATIVO CIRCULANTE</v>
      </c>
      <c r="B5" s="9">
        <v>30742869.530000001</v>
      </c>
      <c r="C5" s="9">
        <v>2800147.28</v>
      </c>
      <c r="D5" s="9">
        <v>33543016.809999999</v>
      </c>
    </row>
    <row r="6" spans="1:4" x14ac:dyDescent="0.25">
      <c r="A6" s="2" t="str">
        <f>"1.1.1.00.00- DISPONIVEL"</f>
        <v>1.1.1.00.00- DISPONIVEL</v>
      </c>
      <c r="B6" s="9">
        <v>22250558.59</v>
      </c>
      <c r="C6" s="9">
        <v>2974460.98</v>
      </c>
      <c r="D6" s="9">
        <v>25225019.57</v>
      </c>
    </row>
    <row r="7" spans="1:4" x14ac:dyDescent="0.25">
      <c r="A7" s="2" t="str">
        <f>"1.1.1.02.00- BANCOS C/MOVIMENTO"</f>
        <v>1.1.1.02.00- BANCOS C/MOVIMENTO</v>
      </c>
      <c r="B7" s="9">
        <v>0</v>
      </c>
      <c r="C7" s="9">
        <v>447.35</v>
      </c>
      <c r="D7" s="9">
        <v>447.35</v>
      </c>
    </row>
    <row r="8" spans="1:4" x14ac:dyDescent="0.25">
      <c r="A8" s="2" t="str">
        <f>"1.1.1.02.31- Caixa Econômica Federal - 94511-6 - ROT"</f>
        <v>1.1.1.02.31- Caixa Econômica Federal - 94511-6 - ROT</v>
      </c>
      <c r="B8" s="9">
        <v>0</v>
      </c>
      <c r="C8" s="9">
        <v>447.35</v>
      </c>
      <c r="D8" s="9">
        <v>447.35</v>
      </c>
    </row>
    <row r="9" spans="1:4" x14ac:dyDescent="0.25">
      <c r="A9" s="2" t="str">
        <f>"1.1.1.03.00- APLICACOES FINANCEIRAS"</f>
        <v>1.1.1.03.00- APLICACOES FINANCEIRAS</v>
      </c>
      <c r="B9" s="9">
        <v>20519389.600000001</v>
      </c>
      <c r="C9" s="9">
        <v>2955912.69</v>
      </c>
      <c r="D9" s="9">
        <v>23475302.289999999</v>
      </c>
    </row>
    <row r="10" spans="1:4" x14ac:dyDescent="0.25">
      <c r="A10" s="2" t="str">
        <f>"1.1.1.03.22- Caixa Econômica Federal - 94505-1"</f>
        <v>1.1.1.03.22- Caixa Econômica Federal - 94505-1</v>
      </c>
      <c r="B10" s="9">
        <v>1595881.35</v>
      </c>
      <c r="C10" s="9">
        <v>287615.58</v>
      </c>
      <c r="D10" s="9">
        <v>1883496.93</v>
      </c>
    </row>
    <row r="11" spans="1:4" x14ac:dyDescent="0.25">
      <c r="A11" s="2" t="str">
        <f>"1.1.1.03.23- Caixa Econômica Federal - 94506-0"</f>
        <v>1.1.1.03.23- Caixa Econômica Federal - 94506-0</v>
      </c>
      <c r="B11" s="9">
        <v>18918230.190000001</v>
      </c>
      <c r="C11" s="9">
        <v>2615309.0099999998</v>
      </c>
      <c r="D11" s="9">
        <v>21533539.199999999</v>
      </c>
    </row>
    <row r="12" spans="1:4" x14ac:dyDescent="0.25">
      <c r="A12" s="2" t="str">
        <f>"1.1.1.03.36- Caixa Econômica Federal - 94528-0 Sucumb"</f>
        <v>1.1.1.03.36- Caixa Econômica Federal - 94528-0 Sucumb</v>
      </c>
      <c r="B12" s="9">
        <v>5278.06</v>
      </c>
      <c r="C12" s="9">
        <v>1109.03</v>
      </c>
      <c r="D12" s="9">
        <v>6387.09</v>
      </c>
    </row>
    <row r="13" spans="1:4" x14ac:dyDescent="0.25">
      <c r="A13" s="2" t="str">
        <f>"1.1.1.03.51- Banco do Brasil S/A 26485-7 Licitaç~es"</f>
        <v>1.1.1.03.51- Banco do Brasil S/A 26485-7 Licitaç~es</v>
      </c>
      <c r="B13" s="9">
        <v>0</v>
      </c>
      <c r="C13" s="9">
        <v>51879.07</v>
      </c>
      <c r="D13" s="9">
        <v>51879.07</v>
      </c>
    </row>
    <row r="14" spans="1:4" x14ac:dyDescent="0.25">
      <c r="A14" s="2" t="str">
        <f>"1.1.1.04.00- BANCOS C/VINCULADA"</f>
        <v>1.1.1.04.00- BANCOS C/VINCULADA</v>
      </c>
      <c r="B14" s="9">
        <v>1731168.99</v>
      </c>
      <c r="C14" s="9">
        <v>18100.939999999999</v>
      </c>
      <c r="D14" s="9">
        <v>1749269.93</v>
      </c>
    </row>
    <row r="15" spans="1:4" x14ac:dyDescent="0.25">
      <c r="A15" s="2" t="str">
        <f>"1.1.1.04.10- Caixa Econômica Federal - 94521-3 Caução"</f>
        <v>1.1.1.04.10- Caixa Econômica Federal - 94521-3 Caução</v>
      </c>
      <c r="B15" s="9">
        <v>122004.75</v>
      </c>
      <c r="C15" s="9">
        <v>1269.51</v>
      </c>
      <c r="D15" s="9">
        <v>123274.26</v>
      </c>
    </row>
    <row r="16" spans="1:4" x14ac:dyDescent="0.25">
      <c r="A16" s="2" t="str">
        <f>"1.1.1.04.12- Caixa Econômica Federal - 94627-9 Leilão"</f>
        <v>1.1.1.04.12- Caixa Econômica Federal - 94627-9 Leilão</v>
      </c>
      <c r="B16" s="9">
        <v>1609164.24</v>
      </c>
      <c r="C16" s="9">
        <v>16831.43</v>
      </c>
      <c r="D16" s="9">
        <v>1625995.67</v>
      </c>
    </row>
    <row r="17" spans="1:4" x14ac:dyDescent="0.25">
      <c r="A17" s="2" t="str">
        <f>"1.1.2.00.00- REALIZAVEL A CURTO PRAZO"</f>
        <v>1.1.2.00.00- REALIZAVEL A CURTO PRAZO</v>
      </c>
      <c r="B17" s="9">
        <v>8492310.9399999995</v>
      </c>
      <c r="C17" s="9">
        <v>-174313.7</v>
      </c>
      <c r="D17" s="9">
        <v>8317997.2400000002</v>
      </c>
    </row>
    <row r="18" spans="1:4" x14ac:dyDescent="0.25">
      <c r="A18" s="2" t="str">
        <f>"1.1.2.01.00- CONTAS A RECEBER"</f>
        <v>1.1.2.01.00- CONTAS A RECEBER</v>
      </c>
      <c r="B18" s="9">
        <v>253567.34</v>
      </c>
      <c r="C18" s="9">
        <v>0</v>
      </c>
      <c r="D18" s="9">
        <v>253567.34</v>
      </c>
    </row>
    <row r="19" spans="1:4" x14ac:dyDescent="0.25">
      <c r="A19" s="2" t="str">
        <f>"1.1.2.01.94- Midia Onibus a Receber"</f>
        <v>1.1.2.01.94- Midia Onibus a Receber</v>
      </c>
      <c r="B19" s="9">
        <v>253567.34</v>
      </c>
      <c r="C19" s="9">
        <v>0</v>
      </c>
      <c r="D19" s="9">
        <v>253567.34</v>
      </c>
    </row>
    <row r="20" spans="1:4" x14ac:dyDescent="0.25">
      <c r="A20" s="2" t="str">
        <f>"1.1.2.04.00- CONVÊNIOS A RECEBER"</f>
        <v>1.1.2.04.00- CONVÊNIOS A RECEBER</v>
      </c>
      <c r="B20" s="9">
        <v>118968.98</v>
      </c>
      <c r="C20" s="9">
        <v>-105750.48</v>
      </c>
      <c r="D20" s="9">
        <v>13218.5</v>
      </c>
    </row>
    <row r="21" spans="1:4" x14ac:dyDescent="0.25">
      <c r="A21" s="2" t="str">
        <f>"1.1.2.04.99- Convenios cedidos a receber"</f>
        <v>1.1.2.04.99- Convenios cedidos a receber</v>
      </c>
      <c r="B21" s="9">
        <v>118968.98</v>
      </c>
      <c r="C21" s="9">
        <v>-105750.48</v>
      </c>
      <c r="D21" s="9">
        <v>13218.5</v>
      </c>
    </row>
    <row r="22" spans="1:4" x14ac:dyDescent="0.25">
      <c r="A22" s="2" t="str">
        <f>"1.1.2.06.00- ADIANTAMENTO A EMPREGADOS"</f>
        <v>1.1.2.06.00- ADIANTAMENTO A EMPREGADOS</v>
      </c>
      <c r="B22" s="9">
        <v>2894962.89</v>
      </c>
      <c r="C22" s="9">
        <v>191054.32</v>
      </c>
      <c r="D22" s="9">
        <v>3086017.21</v>
      </c>
    </row>
    <row r="23" spans="1:4" x14ac:dyDescent="0.25">
      <c r="A23" s="2" t="str">
        <f>"1.1.2.06.01- Adiantamento de Ferias"</f>
        <v>1.1.2.06.01- Adiantamento de Ferias</v>
      </c>
      <c r="B23" s="9">
        <v>1345959.25</v>
      </c>
      <c r="C23" s="9">
        <v>-74226.2</v>
      </c>
      <c r="D23" s="9">
        <v>1271733.05</v>
      </c>
    </row>
    <row r="24" spans="1:4" x14ac:dyDescent="0.25">
      <c r="A24" s="2" t="str">
        <f>"1.1.2.06.02- Adiantamento de 13. Salario"</f>
        <v>1.1.2.06.02- Adiantamento de 13. Salario</v>
      </c>
      <c r="B24" s="9">
        <v>1506978.63</v>
      </c>
      <c r="C24" s="9">
        <v>282382.3</v>
      </c>
      <c r="D24" s="9">
        <v>1789360.93</v>
      </c>
    </row>
    <row r="25" spans="1:4" x14ac:dyDescent="0.25">
      <c r="A25" s="2" t="str">
        <f>"1.1.2.06.03- Adiant. de Salario/Parc. Ferias"</f>
        <v>1.1.2.06.03- Adiant. de Salario/Parc. Ferias</v>
      </c>
      <c r="B25" s="9">
        <v>38306.160000000003</v>
      </c>
      <c r="C25" s="9">
        <v>-21096.77</v>
      </c>
      <c r="D25" s="9">
        <v>17209.39</v>
      </c>
    </row>
    <row r="26" spans="1:4" x14ac:dyDescent="0.25">
      <c r="A26" s="2" t="str">
        <f>"1.1.2.06.07- Adiantamento Pensao s/ Ferias"</f>
        <v>1.1.2.06.07- Adiantamento Pensao s/ Ferias</v>
      </c>
      <c r="B26" s="9">
        <v>3718.85</v>
      </c>
      <c r="C26" s="9">
        <v>3994.99</v>
      </c>
      <c r="D26" s="9">
        <v>7713.84</v>
      </c>
    </row>
    <row r="27" spans="1:4" x14ac:dyDescent="0.25">
      <c r="A27" s="2" t="str">
        <f>"1.1.2.08.00- ALMOXARIFADO"</f>
        <v>1.1.2.08.00- ALMOXARIFADO</v>
      </c>
      <c r="B27" s="9">
        <v>574990.85</v>
      </c>
      <c r="C27" s="9">
        <v>18742.919999999998</v>
      </c>
      <c r="D27" s="9">
        <v>593733.77</v>
      </c>
    </row>
    <row r="28" spans="1:4" x14ac:dyDescent="0.25">
      <c r="A28" s="2" t="str">
        <f>"1.1.2.08.01- Material em Estoque"</f>
        <v>1.1.2.08.01- Material em Estoque</v>
      </c>
      <c r="B28" s="9">
        <v>574990.85</v>
      </c>
      <c r="C28" s="9">
        <v>18742.919999999998</v>
      </c>
      <c r="D28" s="9">
        <v>593733.77</v>
      </c>
    </row>
    <row r="29" spans="1:4" x14ac:dyDescent="0.25">
      <c r="A29" s="2" t="str">
        <f>"1.1.2.10.00- IMPOSTOS E CONTRIB.A RECUPERAR"</f>
        <v>1.1.2.10.00- IMPOSTOS E CONTRIB.A RECUPERAR</v>
      </c>
      <c r="B29" s="9">
        <v>5194693.67</v>
      </c>
      <c r="C29" s="9">
        <v>36869.93</v>
      </c>
      <c r="D29" s="9">
        <v>5231563.5999999996</v>
      </c>
    </row>
    <row r="30" spans="1:4" x14ac:dyDescent="0.25">
      <c r="A30" s="2" t="str">
        <f>"1.1.2.10.01- IR s/Aplicacao Financeira"</f>
        <v>1.1.2.10.01- IR s/Aplicacao Financeira</v>
      </c>
      <c r="B30" s="9">
        <v>537669.31999999995</v>
      </c>
      <c r="C30" s="9">
        <v>-6849.75</v>
      </c>
      <c r="D30" s="9">
        <v>530819.56999999995</v>
      </c>
    </row>
    <row r="31" spans="1:4" x14ac:dyDescent="0.25">
      <c r="A31" s="2" t="str">
        <f>"1.1.2.10.15- Cofins a Compensar"</f>
        <v>1.1.2.10.15- Cofins a Compensar</v>
      </c>
      <c r="B31" s="9">
        <v>3810660.99</v>
      </c>
      <c r="C31" s="9">
        <v>35458.639999999999</v>
      </c>
      <c r="D31" s="9">
        <v>3846119.63</v>
      </c>
    </row>
    <row r="32" spans="1:4" x14ac:dyDescent="0.25">
      <c r="A32" s="2" t="str">
        <f>"1.1.2.10.16- PIS a Compensar"</f>
        <v>1.1.2.10.16- PIS a Compensar</v>
      </c>
      <c r="B32" s="9">
        <v>846363.36</v>
      </c>
      <c r="C32" s="9">
        <v>8261.0400000000009</v>
      </c>
      <c r="D32" s="9">
        <v>854624.4</v>
      </c>
    </row>
    <row r="33" spans="1:4" x14ac:dyDescent="0.25">
      <c r="A33" s="2" t="str">
        <f>"1.1.2.11.00- DESPESAS ANTECIPADAS"</f>
        <v>1.1.2.11.00- DESPESAS ANTECIPADAS</v>
      </c>
      <c r="B33" s="9">
        <v>7442.29</v>
      </c>
      <c r="C33" s="9">
        <v>-645.04999999999995</v>
      </c>
      <c r="D33" s="9">
        <v>6797.24</v>
      </c>
    </row>
    <row r="34" spans="1:4" x14ac:dyDescent="0.25">
      <c r="A34" s="2" t="str">
        <f>"1.1.2.11.01- Premios de Seguros a Vencer"</f>
        <v>1.1.2.11.01- Premios de Seguros a Vencer</v>
      </c>
      <c r="B34" s="9">
        <v>7442.29</v>
      </c>
      <c r="C34" s="9">
        <v>-645.04999999999995</v>
      </c>
      <c r="D34" s="9">
        <v>6797.24</v>
      </c>
    </row>
    <row r="35" spans="1:4" x14ac:dyDescent="0.25">
      <c r="A35" s="2" t="str">
        <f>"1.1.2.14.00- CONTAS TRANSITORIAS - GRUPO ATIVO"</f>
        <v>1.1.2.14.00- CONTAS TRANSITORIAS - GRUPO ATIVO</v>
      </c>
      <c r="B35" s="9">
        <v>-552315.07999999996</v>
      </c>
      <c r="C35" s="9">
        <v>-314585.34000000003</v>
      </c>
      <c r="D35" s="9">
        <v>-866900.42</v>
      </c>
    </row>
    <row r="36" spans="1:4" x14ac:dyDescent="0.25">
      <c r="A36" s="2" t="str">
        <f>"1.1.2.14.02- Transitoria de Alteracao Patrimonial"</f>
        <v>1.1.2.14.02- Transitoria de Alteracao Patrimonial</v>
      </c>
      <c r="B36" s="9">
        <v>0</v>
      </c>
      <c r="C36" s="9">
        <v>804</v>
      </c>
      <c r="D36" s="9">
        <v>804</v>
      </c>
    </row>
    <row r="37" spans="1:4" x14ac:dyDescent="0.25">
      <c r="A37" s="2" t="str">
        <f>"1.1.2.14.07- Transitoria de Imposto"</f>
        <v>1.1.2.14.07- Transitoria de Imposto</v>
      </c>
      <c r="B37" s="9">
        <v>-552315.07999999996</v>
      </c>
      <c r="C37" s="9">
        <v>-315389.34000000003</v>
      </c>
      <c r="D37" s="9">
        <v>-867704.42</v>
      </c>
    </row>
    <row r="38" spans="1:4" x14ac:dyDescent="0.25">
      <c r="A38" s="2" t="str">
        <f>"1.2.0.00.00- ATIVO NAO CIRCULANTE"</f>
        <v>1.2.0.00.00- ATIVO NAO CIRCULANTE</v>
      </c>
      <c r="B38" s="9">
        <v>33874147.57</v>
      </c>
      <c r="C38" s="9">
        <v>14529.05</v>
      </c>
      <c r="D38" s="9">
        <v>33888676.619999997</v>
      </c>
    </row>
    <row r="39" spans="1:4" x14ac:dyDescent="0.25">
      <c r="A39" s="2" t="str">
        <f>"1.2.1.00.00- REALIZAVEL A LONGO PRAZO"</f>
        <v>1.2.1.00.00- REALIZAVEL A LONGO PRAZO</v>
      </c>
      <c r="B39" s="9">
        <v>32906615.920000002</v>
      </c>
      <c r="C39" s="9">
        <v>39688.18</v>
      </c>
      <c r="D39" s="9">
        <v>32946304.100000001</v>
      </c>
    </row>
    <row r="40" spans="1:4" x14ac:dyDescent="0.25">
      <c r="A40" s="2" t="str">
        <f>"1.2.1.01.00- CREDITOS E VALORES A RECEBER"</f>
        <v>1.2.1.01.00- CREDITOS E VALORES A RECEBER</v>
      </c>
      <c r="B40" s="9">
        <v>32906615.920000002</v>
      </c>
      <c r="C40" s="9">
        <v>39688.18</v>
      </c>
      <c r="D40" s="9">
        <v>32946304.100000001</v>
      </c>
    </row>
    <row r="41" spans="1:4" x14ac:dyDescent="0.25">
      <c r="A41" s="2" t="str">
        <f>"1.2.1.01.01- Depositos Judiciais"</f>
        <v>1.2.1.01.01- Depositos Judiciais</v>
      </c>
      <c r="B41" s="9">
        <v>869200.1</v>
      </c>
      <c r="C41" s="9">
        <v>39688.18</v>
      </c>
      <c r="D41" s="9">
        <v>908888.28</v>
      </c>
    </row>
    <row r="42" spans="1:4" x14ac:dyDescent="0.25">
      <c r="A42" s="2" t="str">
        <f>"1.2.1.01.06- Multas Transporte Coletivo"</f>
        <v>1.2.1.01.06- Multas Transporte Coletivo</v>
      </c>
      <c r="B42" s="9">
        <v>40046769.780000001</v>
      </c>
      <c r="C42" s="9">
        <v>0</v>
      </c>
      <c r="D42" s="9">
        <v>40046769.780000001</v>
      </c>
    </row>
    <row r="43" spans="1:4" x14ac:dyDescent="0.25">
      <c r="A43" s="2" t="str">
        <f>"1.2.1.01.07- (-) Provisao para Perdas"</f>
        <v>1.2.1.01.07- (-) Provisao para Perdas</v>
      </c>
      <c r="B43" s="9">
        <v>-8009353.96</v>
      </c>
      <c r="C43" s="9">
        <v>0</v>
      </c>
      <c r="D43" s="9">
        <v>-8009353.96</v>
      </c>
    </row>
    <row r="44" spans="1:4" x14ac:dyDescent="0.25">
      <c r="A44" s="2" t="str">
        <f>"1.3.1.00.00- INVESTIMENTOS"</f>
        <v>1.3.1.00.00- INVESTIMENTOS</v>
      </c>
      <c r="B44" s="9">
        <v>26061.01</v>
      </c>
      <c r="C44" s="9">
        <v>0</v>
      </c>
      <c r="D44" s="9">
        <v>26061.01</v>
      </c>
    </row>
    <row r="45" spans="1:4" x14ac:dyDescent="0.25">
      <c r="A45" s="2" t="str">
        <f>"1.3.1.01.00- OUTROS INVESTIMENTOS"</f>
        <v>1.3.1.01.00- OUTROS INVESTIMENTOS</v>
      </c>
      <c r="B45" s="9">
        <v>26061.01</v>
      </c>
      <c r="C45" s="9">
        <v>0</v>
      </c>
      <c r="D45" s="9">
        <v>26061.01</v>
      </c>
    </row>
    <row r="46" spans="1:4" x14ac:dyDescent="0.25">
      <c r="A46" s="2" t="str">
        <f>"1.3.1.01.01- Obras de Arte"</f>
        <v>1.3.1.01.01- Obras de Arte</v>
      </c>
      <c r="B46" s="9">
        <v>25200</v>
      </c>
      <c r="C46" s="9">
        <v>0</v>
      </c>
      <c r="D46" s="9">
        <v>25200</v>
      </c>
    </row>
    <row r="47" spans="1:4" x14ac:dyDescent="0.25">
      <c r="A47" s="2" t="str">
        <f>"1.3.1.01.02- Participações Societárias - PBH ATIVOS"</f>
        <v>1.3.1.01.02- Participações Societárias - PBH ATIVOS</v>
      </c>
      <c r="B47" s="9">
        <v>861.01</v>
      </c>
      <c r="C47" s="9">
        <v>0</v>
      </c>
      <c r="D47" s="9">
        <v>861.01</v>
      </c>
    </row>
    <row r="48" spans="1:4" x14ac:dyDescent="0.25">
      <c r="A48" s="2" t="str">
        <f>"1.3.2.00.00- IMOBILIZADO"</f>
        <v>1.3.2.00.00- IMOBILIZADO</v>
      </c>
      <c r="B48" s="9">
        <v>6837645.75</v>
      </c>
      <c r="C48" s="9">
        <v>0</v>
      </c>
      <c r="D48" s="9">
        <v>6837645.75</v>
      </c>
    </row>
    <row r="49" spans="1:4" x14ac:dyDescent="0.25">
      <c r="A49" s="2" t="str">
        <f>"1.3.2.01.01- Maquinas e equipamentos"</f>
        <v>1.3.2.01.01- Maquinas e equipamentos</v>
      </c>
      <c r="B49" s="9">
        <v>248917.09</v>
      </c>
      <c r="C49" s="9">
        <v>0</v>
      </c>
      <c r="D49" s="9">
        <v>248917.09</v>
      </c>
    </row>
    <row r="50" spans="1:4" x14ac:dyDescent="0.25">
      <c r="A50" s="2" t="str">
        <f>"1.3.2.02.01- Ferramentas"</f>
        <v>1.3.2.02.01- Ferramentas</v>
      </c>
      <c r="B50" s="9">
        <v>8159.81</v>
      </c>
      <c r="C50" s="9">
        <v>0</v>
      </c>
      <c r="D50" s="9">
        <v>8159.81</v>
      </c>
    </row>
    <row r="51" spans="1:4" x14ac:dyDescent="0.25">
      <c r="A51" s="2" t="str">
        <f>"1.3.2.03.01- Equipamentos de comunicacao"</f>
        <v>1.3.2.03.01- Equipamentos de comunicacao</v>
      </c>
      <c r="B51" s="9">
        <v>635776.65</v>
      </c>
      <c r="C51" s="9">
        <v>0</v>
      </c>
      <c r="D51" s="9">
        <v>635776.65</v>
      </c>
    </row>
    <row r="52" spans="1:4" x14ac:dyDescent="0.25">
      <c r="A52" s="2" t="str">
        <f>"1.3.2.04.01- Instalacoes"</f>
        <v>1.3.2.04.01- Instalacoes</v>
      </c>
      <c r="B52" s="9">
        <v>89886.56</v>
      </c>
      <c r="C52" s="9">
        <v>0</v>
      </c>
      <c r="D52" s="9">
        <v>89886.56</v>
      </c>
    </row>
    <row r="53" spans="1:4" x14ac:dyDescent="0.25">
      <c r="A53" s="2" t="str">
        <f>"1.3.2.06.01- Moveis e utensilios"</f>
        <v>1.3.2.06.01- Moveis e utensilios</v>
      </c>
      <c r="B53" s="9">
        <v>448610.61</v>
      </c>
      <c r="C53" s="9">
        <v>0</v>
      </c>
      <c r="D53" s="9">
        <v>448610.61</v>
      </c>
    </row>
    <row r="54" spans="1:4" x14ac:dyDescent="0.25">
      <c r="A54" s="2" t="str">
        <f>"1.3.2.08.01- Instalacoes administrativas"</f>
        <v>1.3.2.08.01- Instalacoes administrativas</v>
      </c>
      <c r="B54" s="9">
        <v>98491.4</v>
      </c>
      <c r="C54" s="9">
        <v>0</v>
      </c>
      <c r="D54" s="9">
        <v>98491.4</v>
      </c>
    </row>
    <row r="55" spans="1:4" x14ac:dyDescent="0.25">
      <c r="A55" s="2" t="str">
        <f>"1.3.2.09.01- Aparelhos/equipamentos diversos"</f>
        <v>1.3.2.09.01- Aparelhos/equipamentos diversos</v>
      </c>
      <c r="B55" s="9">
        <v>620025.93000000005</v>
      </c>
      <c r="C55" s="9">
        <v>0</v>
      </c>
      <c r="D55" s="9">
        <v>620025.93000000005</v>
      </c>
    </row>
    <row r="56" spans="1:4" x14ac:dyDescent="0.25">
      <c r="A56" s="2" t="str">
        <f>"1.3.2.10.01- Equip. p/ processamento de dados"</f>
        <v>1.3.2.10.01- Equip. p/ processamento de dados</v>
      </c>
      <c r="B56" s="9">
        <v>1494365.77</v>
      </c>
      <c r="C56" s="9">
        <v>0</v>
      </c>
      <c r="D56" s="9">
        <v>1494365.77</v>
      </c>
    </row>
    <row r="57" spans="1:4" x14ac:dyDescent="0.25">
      <c r="A57" s="2" t="str">
        <f>"1.3.2.12.01- Micros/impressoras e acessorios"</f>
        <v>1.3.2.12.01- Micros/impressoras e acessorios</v>
      </c>
      <c r="B57" s="9">
        <v>1421066.01</v>
      </c>
      <c r="C57" s="9">
        <v>0</v>
      </c>
      <c r="D57" s="9">
        <v>1421066.01</v>
      </c>
    </row>
    <row r="58" spans="1:4" x14ac:dyDescent="0.25">
      <c r="A58" s="2" t="str">
        <f>"1.3.2.13.01- Imobilizacao em imoveis de terceiros"</f>
        <v>1.3.2.13.01- Imobilizacao em imoveis de terceiros</v>
      </c>
      <c r="B58" s="9">
        <v>609961.46</v>
      </c>
      <c r="C58" s="9">
        <v>0</v>
      </c>
      <c r="D58" s="9">
        <v>609961.46</v>
      </c>
    </row>
    <row r="59" spans="1:4" x14ac:dyDescent="0.25">
      <c r="A59" s="2" t="str">
        <f>"1.3.2.14.01- Estacao Diamante"</f>
        <v>1.3.2.14.01- Estacao Diamante</v>
      </c>
      <c r="B59" s="9">
        <v>1162384.46</v>
      </c>
      <c r="C59" s="9">
        <v>0</v>
      </c>
      <c r="D59" s="9">
        <v>1162384.46</v>
      </c>
    </row>
    <row r="60" spans="1:4" x14ac:dyDescent="0.25">
      <c r="A60" s="2" t="str">
        <f>"1.3.3.00.00- INTANGIVEL"</f>
        <v>1.3.3.00.00- INTANGIVEL</v>
      </c>
      <c r="B60" s="9">
        <v>37558</v>
      </c>
      <c r="C60" s="9">
        <v>0</v>
      </c>
      <c r="D60" s="9">
        <v>37558</v>
      </c>
    </row>
    <row r="61" spans="1:4" x14ac:dyDescent="0.25">
      <c r="A61" s="2" t="str">
        <f>"1.3.3.03.00- MARCAS E PATENTES"</f>
        <v>1.3.3.03.00- MARCAS E PATENTES</v>
      </c>
      <c r="B61" s="9">
        <v>808</v>
      </c>
      <c r="C61" s="9">
        <v>0</v>
      </c>
      <c r="D61" s="9">
        <v>808</v>
      </c>
    </row>
    <row r="62" spans="1:4" x14ac:dyDescent="0.25">
      <c r="A62" s="2" t="str">
        <f>"1.3.3.03.01- Marcas e Patentes"</f>
        <v>1.3.3.03.01- Marcas e Patentes</v>
      </c>
      <c r="B62" s="9">
        <v>808</v>
      </c>
      <c r="C62" s="9">
        <v>0</v>
      </c>
      <c r="D62" s="9">
        <v>808</v>
      </c>
    </row>
    <row r="63" spans="1:4" x14ac:dyDescent="0.25">
      <c r="A63" s="2" t="str">
        <f>"1.3.3.04.01- Programas e Sistemas"</f>
        <v>1.3.3.04.01- Programas e Sistemas</v>
      </c>
      <c r="B63" s="9">
        <v>36750</v>
      </c>
      <c r="C63" s="9">
        <v>0</v>
      </c>
      <c r="D63" s="9">
        <v>36750</v>
      </c>
    </row>
    <row r="64" spans="1:4" x14ac:dyDescent="0.25">
      <c r="A64" s="2" t="str">
        <f>"1.3.5.00.00- ( - )DEPRECIACAO E AMORTIZACAO"</f>
        <v>1.3.5.00.00- ( - )DEPRECIACAO E AMORTIZACAO</v>
      </c>
      <c r="B64" s="9">
        <v>-5933733.1100000003</v>
      </c>
      <c r="C64" s="9">
        <v>-25159.13</v>
      </c>
      <c r="D64" s="9">
        <v>-5958892.2400000002</v>
      </c>
    </row>
    <row r="65" spans="1:4" x14ac:dyDescent="0.25">
      <c r="A65" s="2" t="str">
        <f>"1.3.5.01.00- ( - ) DEPRECIACAO E AMORTIZACAO"</f>
        <v>1.3.5.01.00- ( - ) DEPRECIACAO E AMORTIZACAO</v>
      </c>
      <c r="B65" s="9">
        <v>-5933733.1100000003</v>
      </c>
      <c r="C65" s="9">
        <v>-25159.13</v>
      </c>
      <c r="D65" s="9">
        <v>-5958892.2400000002</v>
      </c>
    </row>
    <row r="66" spans="1:4" x14ac:dyDescent="0.25">
      <c r="A66" s="2" t="str">
        <f>"1.3.5.01.01- ( - ) Moveis e Utensilios"</f>
        <v>1.3.5.01.01- ( - ) Moveis e Utensilios</v>
      </c>
      <c r="B66" s="9">
        <v>-429552.99</v>
      </c>
      <c r="C66" s="9">
        <v>-256.76</v>
      </c>
      <c r="D66" s="9">
        <v>-429809.75</v>
      </c>
    </row>
    <row r="67" spans="1:4" x14ac:dyDescent="0.25">
      <c r="A67" s="2" t="str">
        <f>"1.3.5.01.02- ( - ) Aparelhos/Equipamentos Diversos"</f>
        <v>1.3.5.01.02- ( - ) Aparelhos/Equipamentos Diversos</v>
      </c>
      <c r="B67" s="9">
        <v>-582147.81999999995</v>
      </c>
      <c r="C67" s="9">
        <v>-1643.35</v>
      </c>
      <c r="D67" s="9">
        <v>-583791.17000000004</v>
      </c>
    </row>
    <row r="68" spans="1:4" x14ac:dyDescent="0.25">
      <c r="A68" s="2" t="str">
        <f>"1.3.5.01.03- ( - ) Instalacoes Administrativas"</f>
        <v>1.3.5.01.03- ( - ) Instalacoes Administrativas</v>
      </c>
      <c r="B68" s="9">
        <v>-98491.4</v>
      </c>
      <c r="C68" s="9">
        <v>0</v>
      </c>
      <c r="D68" s="9">
        <v>-98491.4</v>
      </c>
    </row>
    <row r="69" spans="1:4" x14ac:dyDescent="0.25">
      <c r="A69" s="2" t="str">
        <f>"1.3.5.01.05- ( - ) Impressoras e Micros"</f>
        <v>1.3.5.01.05- ( - ) Impressoras e Micros</v>
      </c>
      <c r="B69" s="9">
        <v>-2308612.67</v>
      </c>
      <c r="C69" s="9">
        <v>-12684.47</v>
      </c>
      <c r="D69" s="9">
        <v>-2321297.14</v>
      </c>
    </row>
    <row r="70" spans="1:4" x14ac:dyDescent="0.25">
      <c r="A70" s="2" t="str">
        <f>"1.3.5.01.06- ( - ) Maquinas e Equipamentos"</f>
        <v>1.3.5.01.06- ( - ) Maquinas e Equipamentos</v>
      </c>
      <c r="B70" s="9">
        <v>-221262.85</v>
      </c>
      <c r="C70" s="9">
        <v>-555.08000000000004</v>
      </c>
      <c r="D70" s="9">
        <v>-221817.93</v>
      </c>
    </row>
    <row r="71" spans="1:4" x14ac:dyDescent="0.25">
      <c r="A71" s="2" t="str">
        <f>"1.3.5.01.07- ( - ) Equipamentos de Comunicacao"</f>
        <v>1.3.5.01.07- ( - ) Equipamentos de Comunicacao</v>
      </c>
      <c r="B71" s="9">
        <v>-592470.42000000004</v>
      </c>
      <c r="C71" s="9">
        <v>-7995.34</v>
      </c>
      <c r="D71" s="9">
        <v>-600465.76</v>
      </c>
    </row>
    <row r="72" spans="1:4" x14ac:dyDescent="0.25">
      <c r="A72" s="2" t="str">
        <f>"1.3.5.01.08- ( - ) Instalacoes Operacionais"</f>
        <v>1.3.5.01.08- ( - ) Instalacoes Operacionais</v>
      </c>
      <c r="B72" s="9">
        <v>-86821.45</v>
      </c>
      <c r="C72" s="9">
        <v>-95.83</v>
      </c>
      <c r="D72" s="9">
        <v>-86917.28</v>
      </c>
    </row>
    <row r="73" spans="1:4" x14ac:dyDescent="0.25">
      <c r="A73" s="2" t="str">
        <f>"1.3.5.01.09- ( - ) Programas (Softwares)"</f>
        <v>1.3.5.01.09- ( - ) Programas (Softwares)</v>
      </c>
      <c r="B73" s="9">
        <v>-36750</v>
      </c>
      <c r="C73" s="9">
        <v>0</v>
      </c>
      <c r="D73" s="9">
        <v>-36750</v>
      </c>
    </row>
    <row r="74" spans="1:4" x14ac:dyDescent="0.25">
      <c r="A74" s="2" t="str">
        <f>"1.3.5.01.14- ( - ) Ferramentas"</f>
        <v>1.3.5.01.14- ( - ) Ferramentas</v>
      </c>
      <c r="B74" s="9">
        <v>-8159.81</v>
      </c>
      <c r="C74" s="9">
        <v>0</v>
      </c>
      <c r="D74" s="9">
        <v>-8159.81</v>
      </c>
    </row>
    <row r="75" spans="1:4" x14ac:dyDescent="0.25">
      <c r="A75" s="2" t="str">
        <f>"1.3.5.01.15- ( - ) Imobilizacoes em Imov. Terceiros"</f>
        <v>1.3.5.01.15- ( - ) Imobilizacoes em Imov. Terceiros</v>
      </c>
      <c r="B75" s="9">
        <v>-1569463.7</v>
      </c>
      <c r="C75" s="9">
        <v>-1928.3</v>
      </c>
      <c r="D75" s="9">
        <v>-1571392</v>
      </c>
    </row>
    <row r="76" spans="1:4" x14ac:dyDescent="0.25">
      <c r="A76" s="2" t="str">
        <f>""</f>
        <v/>
      </c>
      <c r="B76" s="3" t="str">
        <f>""</f>
        <v/>
      </c>
      <c r="C76" s="3" t="str">
        <f>""</f>
        <v/>
      </c>
      <c r="D76" s="3" t="str">
        <f>""</f>
        <v/>
      </c>
    </row>
    <row r="77" spans="1:4" x14ac:dyDescent="0.25">
      <c r="A77" s="2" t="str">
        <f>"PASSIVO"</f>
        <v>PASSIVO</v>
      </c>
      <c r="B77" s="3" t="str">
        <f>""</f>
        <v/>
      </c>
      <c r="C77" s="3" t="str">
        <f>""</f>
        <v/>
      </c>
      <c r="D77" s="3" t="str">
        <f>""</f>
        <v/>
      </c>
    </row>
    <row r="78" spans="1:4" x14ac:dyDescent="0.25">
      <c r="A78" s="2" t="str">
        <f>"2.0.0.00.00- PASSIVO"</f>
        <v>2.0.0.00.00- PASSIVO</v>
      </c>
      <c r="B78" s="9">
        <v>64617017.100000001</v>
      </c>
      <c r="C78" s="9">
        <v>2814676.33</v>
      </c>
      <c r="D78" s="9">
        <v>67431693.430000007</v>
      </c>
    </row>
    <row r="79" spans="1:4" x14ac:dyDescent="0.25">
      <c r="A79" s="2" t="str">
        <f>"2.1.0.00.00- PASSIVO CIRCULANTE"</f>
        <v>2.1.0.00.00- PASSIVO CIRCULANTE</v>
      </c>
      <c r="B79" s="9">
        <v>41686603.359999999</v>
      </c>
      <c r="C79" s="9">
        <v>3445844.89</v>
      </c>
      <c r="D79" s="9">
        <v>45132448.25</v>
      </c>
    </row>
    <row r="80" spans="1:4" x14ac:dyDescent="0.25">
      <c r="A80" s="2" t="str">
        <f>"2.1.1.00.00- OBRIGACOES COM PESSOAL"</f>
        <v>2.1.1.00.00- OBRIGACOES COM PESSOAL</v>
      </c>
      <c r="B80" s="9">
        <v>21751945.190000001</v>
      </c>
      <c r="C80" s="9">
        <v>3042406.91</v>
      </c>
      <c r="D80" s="9">
        <v>24794352.100000001</v>
      </c>
    </row>
    <row r="81" spans="1:4" x14ac:dyDescent="0.25">
      <c r="A81" s="2" t="str">
        <f>"2.1.1.01.00- SALARIOS A PAGAR"</f>
        <v>2.1.1.01.00- SALARIOS A PAGAR</v>
      </c>
      <c r="B81" s="9">
        <v>21751945.190000001</v>
      </c>
      <c r="C81" s="9">
        <v>3042406.91</v>
      </c>
      <c r="D81" s="9">
        <v>24794352.100000001</v>
      </c>
    </row>
    <row r="82" spans="1:4" x14ac:dyDescent="0.25">
      <c r="A82" s="2" t="str">
        <f>"2.1.1.01.01- Salarios a Pagar"</f>
        <v>2.1.1.01.01- Salarios a Pagar</v>
      </c>
      <c r="B82" s="9">
        <v>6190241.5999999996</v>
      </c>
      <c r="C82" s="9">
        <v>1492725.67</v>
      </c>
      <c r="D82" s="9">
        <v>7682967.2699999996</v>
      </c>
    </row>
    <row r="83" spans="1:4" x14ac:dyDescent="0.25">
      <c r="A83" s="2" t="str">
        <f>"2.1.1.01.02- Provisão 13º Salário"</f>
        <v>2.1.1.01.02- Provisão 13º Salário</v>
      </c>
      <c r="B83" s="9">
        <v>2460510.96</v>
      </c>
      <c r="C83" s="9">
        <v>934409.65</v>
      </c>
      <c r="D83" s="9">
        <v>3394920.61</v>
      </c>
    </row>
    <row r="84" spans="1:4" x14ac:dyDescent="0.25">
      <c r="A84" s="2" t="str">
        <f>"2.1.1.01.03- Ferias a pagar"</f>
        <v>2.1.1.01.03- Ferias a pagar</v>
      </c>
      <c r="B84" s="9">
        <v>173070.85</v>
      </c>
      <c r="C84" s="9">
        <v>49500.94</v>
      </c>
      <c r="D84" s="9">
        <v>222571.79</v>
      </c>
    </row>
    <row r="85" spans="1:4" x14ac:dyDescent="0.25">
      <c r="A85" s="2" t="str">
        <f>"2.1.1.01.05- Rescisoes a Pagar"</f>
        <v>2.1.1.01.05- Rescisoes a Pagar</v>
      </c>
      <c r="B85" s="9">
        <v>1088.9000000000001</v>
      </c>
      <c r="C85" s="9">
        <v>-159.71</v>
      </c>
      <c r="D85" s="9">
        <v>929.19</v>
      </c>
    </row>
    <row r="86" spans="1:4" x14ac:dyDescent="0.25">
      <c r="A86" s="2" t="str">
        <f>"2.1.1.01.09- Provisao de Ferias"</f>
        <v>2.1.1.01.09- Provisao de Ferias</v>
      </c>
      <c r="B86" s="9">
        <v>12831810.59</v>
      </c>
      <c r="C86" s="9">
        <v>547776.37</v>
      </c>
      <c r="D86" s="9">
        <v>13379586.960000001</v>
      </c>
    </row>
    <row r="87" spans="1:4" x14ac:dyDescent="0.25">
      <c r="A87" s="2" t="str">
        <f>"2.1.1.01.12- Pensão Judicial"</f>
        <v>2.1.1.01.12- Pensão Judicial</v>
      </c>
      <c r="B87" s="9">
        <v>95222.29</v>
      </c>
      <c r="C87" s="9">
        <v>18153.990000000002</v>
      </c>
      <c r="D87" s="9">
        <v>113376.28</v>
      </c>
    </row>
    <row r="88" spans="1:4" x14ac:dyDescent="0.25">
      <c r="A88" s="2" t="str">
        <f>"2.1.2.00.00- OBRIGACOES SOCIAIS A CURTO PRAZO"</f>
        <v>2.1.2.00.00- OBRIGACOES SOCIAIS A CURTO PRAZO</v>
      </c>
      <c r="B88" s="9">
        <v>10699749.609999999</v>
      </c>
      <c r="C88" s="9">
        <v>936265.43</v>
      </c>
      <c r="D88" s="9">
        <v>11636015.039999999</v>
      </c>
    </row>
    <row r="89" spans="1:4" x14ac:dyDescent="0.25">
      <c r="A89" s="2" t="str">
        <f>"2.1.2.01.00- OBRIGACOES SOCIAIS A RECOLHER"</f>
        <v>2.1.2.01.00- OBRIGACOES SOCIAIS A RECOLHER</v>
      </c>
      <c r="B89" s="9">
        <v>10699749.609999999</v>
      </c>
      <c r="C89" s="9">
        <v>936265.43</v>
      </c>
      <c r="D89" s="9">
        <v>11636015.039999999</v>
      </c>
    </row>
    <row r="90" spans="1:4" x14ac:dyDescent="0.25">
      <c r="A90" s="2" t="str">
        <f>"2.1.2.01.01- INSS a recolher s/Folha Pagto"</f>
        <v>2.1.2.01.01- INSS a recolher s/Folha Pagto</v>
      </c>
      <c r="B90" s="9">
        <v>3716911.04</v>
      </c>
      <c r="C90" s="9">
        <v>317771.59999999998</v>
      </c>
      <c r="D90" s="9">
        <v>4034682.64</v>
      </c>
    </row>
    <row r="91" spans="1:4" x14ac:dyDescent="0.25">
      <c r="A91" s="2" t="str">
        <f>"2.1.2.01.02- FGTS a recolher s/Folha Pagto"</f>
        <v>2.1.2.01.02- FGTS a recolher s/Folha Pagto</v>
      </c>
      <c r="B91" s="9">
        <v>864179.69</v>
      </c>
      <c r="C91" s="9">
        <v>68952.87</v>
      </c>
      <c r="D91" s="9">
        <v>933132.56</v>
      </c>
    </row>
    <row r="92" spans="1:4" x14ac:dyDescent="0.25">
      <c r="A92" s="2" t="str">
        <f>"2.1.2.01.05- Contribuicao Sindical"</f>
        <v>2.1.2.01.05- Contribuicao Sindical</v>
      </c>
      <c r="B92" s="9">
        <v>9814.33</v>
      </c>
      <c r="C92" s="9">
        <v>275.41000000000003</v>
      </c>
      <c r="D92" s="9">
        <v>10089.74</v>
      </c>
    </row>
    <row r="93" spans="1:4" x14ac:dyDescent="0.25">
      <c r="A93" s="2" t="str">
        <f>"2.1.2.01.06- INSS s/Provisao de Ferias"</f>
        <v>2.1.2.01.06- INSS s/Provisao de Ferias</v>
      </c>
      <c r="B93" s="9">
        <v>3755536.99</v>
      </c>
      <c r="C93" s="9">
        <v>161537.51999999999</v>
      </c>
      <c r="D93" s="9">
        <v>3917074.51</v>
      </c>
    </row>
    <row r="94" spans="1:4" x14ac:dyDescent="0.25">
      <c r="A94" s="2" t="str">
        <f>"2.1.2.01.09- INSS a Recolher s/Autonomos"</f>
        <v>2.1.2.01.09- INSS a Recolher s/Autonomos</v>
      </c>
      <c r="B94" s="9">
        <v>4362.84</v>
      </c>
      <c r="C94" s="9">
        <v>769.48</v>
      </c>
      <c r="D94" s="9">
        <v>5132.32</v>
      </c>
    </row>
    <row r="95" spans="1:4" x14ac:dyDescent="0.25">
      <c r="A95" s="2" t="str">
        <f>"2.1.2.01.10- INSS s/Provisao de 13.Salario"</f>
        <v>2.1.2.01.10- INSS s/Provisao de 13.Salario</v>
      </c>
      <c r="B95" s="9">
        <v>720609.74</v>
      </c>
      <c r="C95" s="9">
        <v>274062.08000000002</v>
      </c>
      <c r="D95" s="9">
        <v>994671.82</v>
      </c>
    </row>
    <row r="96" spans="1:4" x14ac:dyDescent="0.25">
      <c r="A96" s="2" t="str">
        <f>"2.1.2.01.11- FGTS s/Provisao de 13.Salario"</f>
        <v>2.1.2.01.11- FGTS s/Provisao de 13.Salario</v>
      </c>
      <c r="B96" s="9">
        <v>121842.93</v>
      </c>
      <c r="C96" s="9">
        <v>35159.730000000003</v>
      </c>
      <c r="D96" s="9">
        <v>157002.66</v>
      </c>
    </row>
    <row r="97" spans="1:4" x14ac:dyDescent="0.25">
      <c r="A97" s="2" t="str">
        <f>"2.1.2.01.12- FGTS s/Provisao de Ferias"</f>
        <v>2.1.2.01.12- FGTS s/Provisao de Ferias</v>
      </c>
      <c r="B97" s="9">
        <v>1026540.95</v>
      </c>
      <c r="C97" s="9">
        <v>43822.28</v>
      </c>
      <c r="D97" s="9">
        <v>1070363.23</v>
      </c>
    </row>
    <row r="98" spans="1:4" x14ac:dyDescent="0.25">
      <c r="A98" s="2" t="str">
        <f>"2.1.2.01.15- Crediserv-BH"</f>
        <v>2.1.2.01.15- Crediserv-BH</v>
      </c>
      <c r="B98" s="9">
        <v>24742.080000000002</v>
      </c>
      <c r="C98" s="9">
        <v>2106.29</v>
      </c>
      <c r="D98" s="9">
        <v>26848.37</v>
      </c>
    </row>
    <row r="99" spans="1:4" x14ac:dyDescent="0.25">
      <c r="A99" s="2" t="str">
        <f>"2.1.2.01.16- INSS Fonte a Recolher - PJ"</f>
        <v>2.1.2.01.16- INSS Fonte a Recolher - PJ</v>
      </c>
      <c r="B99" s="9">
        <v>453497.56</v>
      </c>
      <c r="C99" s="9">
        <v>31558.79</v>
      </c>
      <c r="D99" s="9">
        <v>485056.35</v>
      </c>
    </row>
    <row r="100" spans="1:4" x14ac:dyDescent="0.25">
      <c r="A100" s="2" t="str">
        <f>"2.1.2.01.18- INSS Fonte a Recolher - P F"</f>
        <v>2.1.2.01.18- INSS Fonte a Recolher - P F</v>
      </c>
      <c r="B100" s="9">
        <v>1711.46</v>
      </c>
      <c r="C100" s="9">
        <v>249.38</v>
      </c>
      <c r="D100" s="9">
        <v>1960.84</v>
      </c>
    </row>
    <row r="101" spans="1:4" x14ac:dyDescent="0.25">
      <c r="A101" s="2" t="str">
        <f>"2.1.3.00.00- OBRIGACOES FISCAIS A CURTO PRAZO"</f>
        <v>2.1.3.00.00- OBRIGACOES FISCAIS A CURTO PRAZO</v>
      </c>
      <c r="B101" s="9">
        <v>2945053.11</v>
      </c>
      <c r="C101" s="9">
        <v>-326021.93</v>
      </c>
      <c r="D101" s="9">
        <v>2619031.1800000002</v>
      </c>
    </row>
    <row r="102" spans="1:4" x14ac:dyDescent="0.25">
      <c r="A102" s="2" t="str">
        <f>"2.1.3.01.00- IMPOSTOS E TAXAS A RECOLHER"</f>
        <v>2.1.3.01.00- IMPOSTOS E TAXAS A RECOLHER</v>
      </c>
      <c r="B102" s="9">
        <v>2945053.11</v>
      </c>
      <c r="C102" s="9">
        <v>-326021.93</v>
      </c>
      <c r="D102" s="9">
        <v>2619031.1800000002</v>
      </c>
    </row>
    <row r="103" spans="1:4" x14ac:dyDescent="0.25">
      <c r="A103" s="2" t="str">
        <f>"2.1.3.01.01- IRRF Fonte Folha Pagto"</f>
        <v>2.1.3.01.01- IRRF Fonte Folha Pagto</v>
      </c>
      <c r="B103" s="9">
        <v>2191387.11</v>
      </c>
      <c r="C103" s="9">
        <v>-460373.84</v>
      </c>
      <c r="D103" s="9">
        <v>1731013.27</v>
      </c>
    </row>
    <row r="104" spans="1:4" x14ac:dyDescent="0.25">
      <c r="A104" s="2" t="str">
        <f>"2.1.3.01.03- IRRF Fonte - Pessoa  Juridica e Física"</f>
        <v>2.1.3.01.03- IRRF Fonte - Pessoa  Juridica e Física</v>
      </c>
      <c r="B104" s="9">
        <v>50410.04</v>
      </c>
      <c r="C104" s="9">
        <v>9680.2199999999993</v>
      </c>
      <c r="D104" s="9">
        <v>60090.26</v>
      </c>
    </row>
    <row r="105" spans="1:4" x14ac:dyDescent="0.25">
      <c r="A105" s="2" t="str">
        <f>"2.1.3.01.09- ISS Fonte a Recolher P.Juridica"</f>
        <v>2.1.3.01.09- ISS Fonte a Recolher P.Juridica</v>
      </c>
      <c r="B105" s="9">
        <v>311018.23999999999</v>
      </c>
      <c r="C105" s="9">
        <v>93533.17</v>
      </c>
      <c r="D105" s="9">
        <v>404551.41</v>
      </c>
    </row>
    <row r="106" spans="1:4" x14ac:dyDescent="0.25">
      <c r="A106" s="2" t="str">
        <f>"2.1.3.01.12- CSLL-COFINS-PIS - FONTE"</f>
        <v>2.1.3.01.12- CSLL-COFINS-PIS - FONTE</v>
      </c>
      <c r="B106" s="9">
        <v>392237.72</v>
      </c>
      <c r="C106" s="9">
        <v>31138.52</v>
      </c>
      <c r="D106" s="9">
        <v>423376.24</v>
      </c>
    </row>
    <row r="107" spans="1:4" x14ac:dyDescent="0.25">
      <c r="A107" s="2" t="str">
        <f>"2.1.4.00.00- OUTRAS OBRIGACOES A CURTO PRAZO"</f>
        <v>2.1.4.00.00- OUTRAS OBRIGACOES A CURTO PRAZO</v>
      </c>
      <c r="B107" s="9">
        <v>6289855.4500000002</v>
      </c>
      <c r="C107" s="9">
        <v>-206805.52</v>
      </c>
      <c r="D107" s="9">
        <v>6083049.9299999997</v>
      </c>
    </row>
    <row r="108" spans="1:4" x14ac:dyDescent="0.25">
      <c r="A108" s="2" t="str">
        <f>"2.1.4.01.00- FORNECEDORES"</f>
        <v>2.1.4.01.00- FORNECEDORES</v>
      </c>
      <c r="B108" s="9">
        <v>4959903.1399999997</v>
      </c>
      <c r="C108" s="9">
        <v>-220542.42</v>
      </c>
      <c r="D108" s="9">
        <v>4739360.72</v>
      </c>
    </row>
    <row r="109" spans="1:4" x14ac:dyDescent="0.25">
      <c r="A109" s="2" t="str">
        <f>"2.1.4.01.99- Fornecedores"</f>
        <v>2.1.4.01.99- Fornecedores</v>
      </c>
      <c r="B109" s="9">
        <v>4959903.1399999997</v>
      </c>
      <c r="C109" s="9">
        <v>-220542.42</v>
      </c>
      <c r="D109" s="9">
        <v>4739360.72</v>
      </c>
    </row>
    <row r="110" spans="1:4" x14ac:dyDescent="0.25">
      <c r="A110" s="2" t="str">
        <f>"2.1.4.02.00- CONTAS A PAGAR"</f>
        <v>2.1.4.02.00- CONTAS A PAGAR</v>
      </c>
      <c r="B110" s="9">
        <v>412036.39</v>
      </c>
      <c r="C110" s="9">
        <v>13736.9</v>
      </c>
      <c r="D110" s="9">
        <v>425773.29</v>
      </c>
    </row>
    <row r="111" spans="1:4" x14ac:dyDescent="0.25">
      <c r="A111" s="2" t="str">
        <f>"2.1.4.02.01- Emprestimo Consignado - Bradesco"</f>
        <v>2.1.4.02.01- Emprestimo Consignado - Bradesco</v>
      </c>
      <c r="B111" s="9">
        <v>264517.36</v>
      </c>
      <c r="C111" s="9">
        <v>6168.97</v>
      </c>
      <c r="D111" s="9">
        <v>270686.33</v>
      </c>
    </row>
    <row r="112" spans="1:4" x14ac:dyDescent="0.25">
      <c r="A112" s="2" t="str">
        <f>"2.1.4.02.03- Emprestimo Consignado - CEF"</f>
        <v>2.1.4.02.03- Emprestimo Consignado - CEF</v>
      </c>
      <c r="B112" s="9">
        <v>447.35</v>
      </c>
      <c r="C112" s="9">
        <v>447.35</v>
      </c>
      <c r="D112" s="9">
        <v>894.7</v>
      </c>
    </row>
    <row r="113" spans="1:4" x14ac:dyDescent="0.25">
      <c r="A113" s="2" t="str">
        <f>"2.1.4.02.05- Emprestimo Consignado-Banco Alfa"</f>
        <v>2.1.4.02.05- Emprestimo Consignado-Banco Alfa</v>
      </c>
      <c r="B113" s="9">
        <v>6987.38</v>
      </c>
      <c r="C113" s="9">
        <v>0</v>
      </c>
      <c r="D113" s="9">
        <v>6987.38</v>
      </c>
    </row>
    <row r="114" spans="1:4" x14ac:dyDescent="0.25">
      <c r="A114" s="2" t="str">
        <f>"2.1.4.02.14- Emprestimo Consignado Trabalhador"</f>
        <v>2.1.4.02.14- Emprestimo Consignado Trabalhador</v>
      </c>
      <c r="B114" s="9">
        <v>131681.53</v>
      </c>
      <c r="C114" s="9">
        <v>-16579.650000000001</v>
      </c>
      <c r="D114" s="9">
        <v>115101.88</v>
      </c>
    </row>
    <row r="115" spans="1:4" x14ac:dyDescent="0.25">
      <c r="A115" s="2" t="str">
        <f>"2.1.4.02.99- Contas a Pagar"</f>
        <v>2.1.4.02.99- Contas a Pagar</v>
      </c>
      <c r="B115" s="9">
        <v>8402.77</v>
      </c>
      <c r="C115" s="9">
        <v>23700.23</v>
      </c>
      <c r="D115" s="9">
        <v>32103</v>
      </c>
    </row>
    <row r="116" spans="1:4" x14ac:dyDescent="0.25">
      <c r="A116" s="2" t="str">
        <f>"2.1.4.04.00- CAUCAO DE TERCEIROS/LEILAO"</f>
        <v>2.1.4.04.00- CAUCAO DE TERCEIROS/LEILAO</v>
      </c>
      <c r="B116" s="9">
        <v>917915.92</v>
      </c>
      <c r="C116" s="9">
        <v>0</v>
      </c>
      <c r="D116" s="9">
        <v>917915.92</v>
      </c>
    </row>
    <row r="117" spans="1:4" x14ac:dyDescent="0.25">
      <c r="A117" s="2" t="str">
        <f>"2.1.4.04.98- Leilões"</f>
        <v>2.1.4.04.98- Leilões</v>
      </c>
      <c r="B117" s="9">
        <v>857604.91</v>
      </c>
      <c r="C117" s="9">
        <v>0</v>
      </c>
      <c r="D117" s="9">
        <v>857604.91</v>
      </c>
    </row>
    <row r="118" spans="1:4" x14ac:dyDescent="0.25">
      <c r="A118" s="2" t="str">
        <f>"2.1.4.04.99- Caucao de Terceiros"</f>
        <v>2.1.4.04.99- Caucao de Terceiros</v>
      </c>
      <c r="B118" s="9">
        <v>60311.01</v>
      </c>
      <c r="C118" s="9">
        <v>0</v>
      </c>
      <c r="D118" s="9">
        <v>60311.01</v>
      </c>
    </row>
    <row r="119" spans="1:4" x14ac:dyDescent="0.25">
      <c r="A119" s="2" t="str">
        <f>"2.2.0.00.00- PASSIVO NAO CIRCULANTE"</f>
        <v>2.2.0.00.00- PASSIVO NAO CIRCULANTE</v>
      </c>
      <c r="B119" s="9">
        <v>166920364.65000001</v>
      </c>
      <c r="C119" s="9">
        <v>-266748.33</v>
      </c>
      <c r="D119" s="9">
        <v>166653616.31999999</v>
      </c>
    </row>
    <row r="120" spans="1:4" x14ac:dyDescent="0.25">
      <c r="A120" s="2" t="str">
        <f>"2.2.4.00.00- OUTRAS OBRIGACOES A LONGO PRAZO"</f>
        <v>2.2.4.00.00- OUTRAS OBRIGACOES A LONGO PRAZO</v>
      </c>
      <c r="B120" s="9">
        <v>166920364.65000001</v>
      </c>
      <c r="C120" s="9">
        <v>-266748.33</v>
      </c>
      <c r="D120" s="9">
        <v>166653616.31999999</v>
      </c>
    </row>
    <row r="121" spans="1:4" x14ac:dyDescent="0.25">
      <c r="A121" s="2" t="str">
        <f>"2.2.4.01.00- CREDORES DIVERSOS"</f>
        <v>2.2.4.01.00- CREDORES DIVERSOS</v>
      </c>
      <c r="B121" s="9">
        <v>13236311.74</v>
      </c>
      <c r="C121" s="9">
        <v>0</v>
      </c>
      <c r="D121" s="9">
        <v>13236311.74</v>
      </c>
    </row>
    <row r="122" spans="1:4" x14ac:dyDescent="0.25">
      <c r="A122" s="2" t="str">
        <f>"2.2.4.01.04- Provisão para Contingências Fiscais"</f>
        <v>2.2.4.01.04- Provisão para Contingências Fiscais</v>
      </c>
      <c r="B122" s="9">
        <v>12294456.800000001</v>
      </c>
      <c r="C122" s="9">
        <v>0</v>
      </c>
      <c r="D122" s="9">
        <v>12294456.800000001</v>
      </c>
    </row>
    <row r="123" spans="1:4" x14ac:dyDescent="0.25">
      <c r="A123" s="2" t="str">
        <f>"2.2.4.01.05- INSS Segurados"</f>
        <v>2.2.4.01.05- INSS Segurados</v>
      </c>
      <c r="B123" s="9">
        <v>941854.94</v>
      </c>
      <c r="C123" s="9">
        <v>0</v>
      </c>
      <c r="D123" s="9">
        <v>941854.94</v>
      </c>
    </row>
    <row r="124" spans="1:4" x14ac:dyDescent="0.25">
      <c r="A124" s="2" t="str">
        <f>"2.2.4.04.00- ACOES JUDICIAIS E TRABALHISTAS"</f>
        <v>2.2.4.04.00- ACOES JUDICIAIS E TRABALHISTAS</v>
      </c>
      <c r="B124" s="9">
        <v>153684052.91</v>
      </c>
      <c r="C124" s="9">
        <v>-266748.33</v>
      </c>
      <c r="D124" s="9">
        <v>153417304.58000001</v>
      </c>
    </row>
    <row r="125" spans="1:4" x14ac:dyDescent="0.25">
      <c r="A125" s="2" t="str">
        <f>"2.2.4.04.01- Acoes judiciais"</f>
        <v>2.2.4.04.01- Acoes judiciais</v>
      </c>
      <c r="B125" s="9">
        <v>52228746.659999996</v>
      </c>
      <c r="C125" s="9">
        <v>0</v>
      </c>
      <c r="D125" s="9">
        <v>52228746.659999996</v>
      </c>
    </row>
    <row r="126" spans="1:4" x14ac:dyDescent="0.25">
      <c r="A126" s="2" t="str">
        <f>"2.2.4.04.02- Acoes trabalhistas"</f>
        <v>2.2.4.04.02- Acoes trabalhistas</v>
      </c>
      <c r="B126" s="9">
        <v>101455306.25</v>
      </c>
      <c r="C126" s="9">
        <v>-266748.33</v>
      </c>
      <c r="D126" s="9">
        <v>101188557.92</v>
      </c>
    </row>
    <row r="127" spans="1:4" x14ac:dyDescent="0.25">
      <c r="A127" s="2" t="str">
        <f>"2.4.0.00.00- PATRIMONIO LIQUIDO"</f>
        <v>2.4.0.00.00- PATRIMONIO LIQUIDO</v>
      </c>
      <c r="B127" s="9">
        <v>-143989950.91</v>
      </c>
      <c r="C127" s="9">
        <v>-364420.23</v>
      </c>
      <c r="D127" s="9">
        <v>-144354371.13999999</v>
      </c>
    </row>
    <row r="128" spans="1:4" x14ac:dyDescent="0.25">
      <c r="A128" s="2" t="str">
        <f>"2.4.1.00.00- CAPITAL SOCIAL"</f>
        <v>2.4.1.00.00- CAPITAL SOCIAL</v>
      </c>
      <c r="B128" s="9">
        <v>67418193.159999996</v>
      </c>
      <c r="C128" s="9">
        <v>0</v>
      </c>
      <c r="D128" s="9">
        <v>67418193.159999996</v>
      </c>
    </row>
    <row r="129" spans="1:4" x14ac:dyDescent="0.25">
      <c r="A129" s="2" t="str">
        <f>"2.4.1.02.00- CAPITAL REALIZADO"</f>
        <v>2.4.1.02.00- CAPITAL REALIZADO</v>
      </c>
      <c r="B129" s="9">
        <v>67418193.159999996</v>
      </c>
      <c r="C129" s="9">
        <v>0</v>
      </c>
      <c r="D129" s="9">
        <v>67418193.159999996</v>
      </c>
    </row>
    <row r="130" spans="1:4" x14ac:dyDescent="0.25">
      <c r="A130" s="2" t="str">
        <f>"2.4.1.02.01- Capital Subscrito"</f>
        <v>2.4.1.02.01- Capital Subscrito</v>
      </c>
      <c r="B130" s="9">
        <v>75000000</v>
      </c>
      <c r="C130" s="9">
        <v>0</v>
      </c>
      <c r="D130" s="9">
        <v>75000000</v>
      </c>
    </row>
    <row r="131" spans="1:4" x14ac:dyDescent="0.25">
      <c r="A131" s="2" t="str">
        <f>"2.4.1.02.04- Capital a Realizar"</f>
        <v>2.4.1.02.04- Capital a Realizar</v>
      </c>
      <c r="B131" s="9">
        <v>-7581806.8399999999</v>
      </c>
      <c r="C131" s="9">
        <v>0</v>
      </c>
      <c r="D131" s="9">
        <v>-7581806.8399999999</v>
      </c>
    </row>
    <row r="132" spans="1:4" x14ac:dyDescent="0.25">
      <c r="A132" s="2" t="str">
        <f>"2.4.3.00.00- RESULTADOS ACUMULADOS"</f>
        <v>2.4.3.00.00- RESULTADOS ACUMULADOS</v>
      </c>
      <c r="B132" s="9">
        <v>-211408144.06999999</v>
      </c>
      <c r="C132" s="9">
        <v>-364420.23</v>
      </c>
      <c r="D132" s="9">
        <v>-211772564.30000001</v>
      </c>
    </row>
    <row r="133" spans="1:4" x14ac:dyDescent="0.25">
      <c r="A133" s="2" t="str">
        <f>"2.4.3.01.00- LUCROS/PREJUIZOS ACUMULADOS"</f>
        <v>2.4.3.01.00- LUCROS/PREJUIZOS ACUMULADOS</v>
      </c>
      <c r="B133" s="9">
        <v>-211408144.06999999</v>
      </c>
      <c r="C133" s="9">
        <v>-364420.23</v>
      </c>
      <c r="D133" s="9">
        <v>-211772564.30000001</v>
      </c>
    </row>
    <row r="134" spans="1:4" x14ac:dyDescent="0.25">
      <c r="A134" s="2" t="str">
        <f>"2.4.3.01.01- Resultados de Exerc. Anteriores"</f>
        <v>2.4.3.01.01- Resultados de Exerc. Anteriores</v>
      </c>
      <c r="B134" s="9">
        <v>-210728141.31</v>
      </c>
      <c r="C134" s="9">
        <v>0</v>
      </c>
      <c r="D134" s="9">
        <v>-210728141.31</v>
      </c>
    </row>
    <row r="135" spans="1:4" x14ac:dyDescent="0.25">
      <c r="A135" s="2" t="str">
        <f>"2.4.3.01.02- Resultado deste Exercicio"</f>
        <v>2.4.3.01.02- Resultado deste Exercicio</v>
      </c>
      <c r="B135" s="9">
        <v>-680002.76</v>
      </c>
      <c r="C135" s="9">
        <v>-364420.23</v>
      </c>
      <c r="D135" s="9">
        <v>-1044422.99</v>
      </c>
    </row>
    <row r="136" spans="1:4" x14ac:dyDescent="0.25">
      <c r="A136" s="2" t="str">
        <f>""</f>
        <v/>
      </c>
      <c r="B136" s="3" t="str">
        <f>""</f>
        <v/>
      </c>
      <c r="C136" s="3" t="str">
        <f>""</f>
        <v/>
      </c>
      <c r="D136" s="3" t="str">
        <f>""</f>
        <v/>
      </c>
    </row>
    <row r="137" spans="1:4" x14ac:dyDescent="0.25">
      <c r="A137" s="2" t="str">
        <f>"DESPESAS"</f>
        <v>DESPESAS</v>
      </c>
      <c r="B137" s="3" t="str">
        <f>""</f>
        <v/>
      </c>
      <c r="C137" s="3" t="str">
        <f>""</f>
        <v/>
      </c>
      <c r="D137" s="3" t="str">
        <f>""</f>
        <v/>
      </c>
    </row>
    <row r="138" spans="1:4" x14ac:dyDescent="0.25">
      <c r="A138" s="2" t="str">
        <f>"3.0.0.00.00- DESPESAS"</f>
        <v>3.0.0.00.00- DESPESAS</v>
      </c>
      <c r="B138" s="9">
        <v>72399245.75</v>
      </c>
      <c r="C138" s="9">
        <v>28297928.32</v>
      </c>
      <c r="D138" s="9">
        <v>100697174.06999999</v>
      </c>
    </row>
    <row r="139" spans="1:4" x14ac:dyDescent="0.25">
      <c r="A139" s="2" t="str">
        <f>"3.1.0.00.00- DESPESAS OPERACIONAIS"</f>
        <v>3.1.0.00.00- DESPESAS OPERACIONAIS</v>
      </c>
      <c r="B139" s="9">
        <v>72399245.75</v>
      </c>
      <c r="C139" s="9">
        <v>28297928.32</v>
      </c>
      <c r="D139" s="9">
        <v>100697174.06999999</v>
      </c>
    </row>
    <row r="140" spans="1:4" x14ac:dyDescent="0.25">
      <c r="A140" s="2" t="str">
        <f>"3.1.1.00.00- SALARIOS ADICIONAIS E HONORARIOS"</f>
        <v>3.1.1.00.00- SALARIOS ADICIONAIS E HONORARIOS</v>
      </c>
      <c r="B140" s="9">
        <v>35765852.479999997</v>
      </c>
      <c r="C140" s="9">
        <v>13079916.73</v>
      </c>
      <c r="D140" s="9">
        <v>48845769.210000001</v>
      </c>
    </row>
    <row r="141" spans="1:4" x14ac:dyDescent="0.25">
      <c r="A141" s="2" t="str">
        <f>"3.1.1.00.01- Honorarios diretoria"</f>
        <v>3.1.1.00.01- Honorarios diretoria</v>
      </c>
      <c r="B141" s="9">
        <v>214660.47</v>
      </c>
      <c r="C141" s="9">
        <v>70955.61</v>
      </c>
      <c r="D141" s="9">
        <v>285616.08</v>
      </c>
    </row>
    <row r="142" spans="1:4" x14ac:dyDescent="0.25">
      <c r="A142" s="2" t="str">
        <f>"3.1.1.00.02- Honorarios conselho fiscal"</f>
        <v>3.1.1.00.02- Honorarios conselho fiscal</v>
      </c>
      <c r="B142" s="9">
        <v>29441.65</v>
      </c>
      <c r="C142" s="9">
        <v>12058.97</v>
      </c>
      <c r="D142" s="9">
        <v>41500.620000000003</v>
      </c>
    </row>
    <row r="143" spans="1:4" x14ac:dyDescent="0.25">
      <c r="A143" s="2" t="str">
        <f>"3.1.1.00.03- Honorarios cons. administracao"</f>
        <v>3.1.1.00.03- Honorarios cons. administracao</v>
      </c>
      <c r="B143" s="9">
        <v>65627.899999999994</v>
      </c>
      <c r="C143" s="9">
        <v>19630.88</v>
      </c>
      <c r="D143" s="9">
        <v>85258.78</v>
      </c>
    </row>
    <row r="144" spans="1:4" x14ac:dyDescent="0.25">
      <c r="A144" s="2" t="str">
        <f>"3.1.1.00.04- Salarios e adicionais"</f>
        <v>3.1.1.00.04- Salarios e adicionais</v>
      </c>
      <c r="B144" s="9">
        <v>28320091.280000001</v>
      </c>
      <c r="C144" s="9">
        <v>10519877.890000001</v>
      </c>
      <c r="D144" s="9">
        <v>38839969.170000002</v>
      </c>
    </row>
    <row r="145" spans="1:4" x14ac:dyDescent="0.25">
      <c r="A145" s="2" t="str">
        <f>"3.1.1.00.05- Ferias e abono pecuniario"</f>
        <v>3.1.1.00.05- Ferias e abono pecuniario</v>
      </c>
      <c r="B145" s="9">
        <v>4380004.26</v>
      </c>
      <c r="C145" s="9">
        <v>1434491.84</v>
      </c>
      <c r="D145" s="9">
        <v>5814496.0999999996</v>
      </c>
    </row>
    <row r="146" spans="1:4" x14ac:dyDescent="0.25">
      <c r="A146" s="2" t="str">
        <f>"3.1.1.00.06- Decimo terceiro salario"</f>
        <v>3.1.1.00.06- Decimo terceiro salario</v>
      </c>
      <c r="B146" s="9">
        <v>2474001.23</v>
      </c>
      <c r="C146" s="9">
        <v>935452.73</v>
      </c>
      <c r="D146" s="9">
        <v>3409453.96</v>
      </c>
    </row>
    <row r="147" spans="1:4" x14ac:dyDescent="0.25">
      <c r="A147" s="2" t="str">
        <f>"3.1.1.00.07- Indenizacoes trabalhistas"</f>
        <v>3.1.1.00.07- Indenizacoes trabalhistas</v>
      </c>
      <c r="B147" s="9">
        <v>218850.42</v>
      </c>
      <c r="C147" s="9">
        <v>67533.009999999995</v>
      </c>
      <c r="D147" s="9">
        <v>286383.43</v>
      </c>
    </row>
    <row r="148" spans="1:4" x14ac:dyDescent="0.25">
      <c r="A148" s="2" t="str">
        <f>"3.1.1.00.08- Bolsas de estagiario"</f>
        <v>3.1.1.00.08- Bolsas de estagiario</v>
      </c>
      <c r="B148" s="9">
        <v>63175.27</v>
      </c>
      <c r="C148" s="9">
        <v>19915.8</v>
      </c>
      <c r="D148" s="9">
        <v>83091.070000000007</v>
      </c>
    </row>
    <row r="149" spans="1:4" x14ac:dyDescent="0.25">
      <c r="A149" s="2" t="str">
        <f>"3.1.2.01.00- ENCARGOS SOCIAIS"</f>
        <v>3.1.2.01.00- ENCARGOS SOCIAIS</v>
      </c>
      <c r="B149" s="9">
        <v>12952065.51</v>
      </c>
      <c r="C149" s="9">
        <v>4770979.37</v>
      </c>
      <c r="D149" s="9">
        <v>17723044.879999999</v>
      </c>
    </row>
    <row r="150" spans="1:4" x14ac:dyDescent="0.25">
      <c r="A150" s="2" t="str">
        <f>"3.1.2.01.01- INSS"</f>
        <v>3.1.2.01.01- INSS</v>
      </c>
      <c r="B150" s="9">
        <v>10109533.27</v>
      </c>
      <c r="C150" s="9">
        <v>3758864.8</v>
      </c>
      <c r="D150" s="9">
        <v>13868398.07</v>
      </c>
    </row>
    <row r="151" spans="1:4" x14ac:dyDescent="0.25">
      <c r="A151" s="2" t="str">
        <f>"3.1.2.01.02- FGTS"</f>
        <v>3.1.2.01.02- FGTS</v>
      </c>
      <c r="B151" s="9">
        <v>2842532.24</v>
      </c>
      <c r="C151" s="9">
        <v>1012114.57</v>
      </c>
      <c r="D151" s="9">
        <v>3854646.81</v>
      </c>
    </row>
    <row r="152" spans="1:4" x14ac:dyDescent="0.25">
      <c r="A152" s="2" t="str">
        <f>"3.1.2.02.00- OUTRAS DESPESAS COM PESSOAL"</f>
        <v>3.1.2.02.00- OUTRAS DESPESAS COM PESSOAL</v>
      </c>
      <c r="B152" s="9">
        <v>6587403.1500000004</v>
      </c>
      <c r="C152" s="9">
        <v>4198296.1100000003</v>
      </c>
      <c r="D152" s="9">
        <v>10785699.26</v>
      </c>
    </row>
    <row r="153" spans="1:4" x14ac:dyDescent="0.25">
      <c r="A153" s="2" t="str">
        <f>"3.1.2.02.01- Seguros de Vida"</f>
        <v>3.1.2.02.01- Seguros de Vida</v>
      </c>
      <c r="B153" s="9">
        <v>23787.03</v>
      </c>
      <c r="C153" s="9">
        <v>7884.57</v>
      </c>
      <c r="D153" s="9">
        <v>31671.599999999999</v>
      </c>
    </row>
    <row r="154" spans="1:4" x14ac:dyDescent="0.25">
      <c r="A154" s="2" t="str">
        <f>"3.1.2.02.02- Ass. Medica Odontologica"</f>
        <v>3.1.2.02.02- Ass. Medica Odontologica</v>
      </c>
      <c r="B154" s="9">
        <v>2238499.65</v>
      </c>
      <c r="C154" s="9">
        <v>738055.76</v>
      </c>
      <c r="D154" s="9">
        <v>2976555.41</v>
      </c>
    </row>
    <row r="155" spans="1:4" x14ac:dyDescent="0.25">
      <c r="A155" s="2" t="str">
        <f>"3.1.2.02.03- Vale Transporte"</f>
        <v>3.1.2.02.03- Vale Transporte</v>
      </c>
      <c r="B155" s="9">
        <v>155191.29999999999</v>
      </c>
      <c r="C155" s="9">
        <v>172404.64</v>
      </c>
      <c r="D155" s="9">
        <v>327595.94</v>
      </c>
    </row>
    <row r="156" spans="1:4" x14ac:dyDescent="0.25">
      <c r="A156" s="2" t="str">
        <f>"3.1.2.02.04- Vale Refeicao/Alimentacao"</f>
        <v>3.1.2.02.04- Vale Refeicao/Alimentacao</v>
      </c>
      <c r="B156" s="9">
        <v>4090233.27</v>
      </c>
      <c r="C156" s="9">
        <v>3236323.02</v>
      </c>
      <c r="D156" s="9">
        <v>7326556.29</v>
      </c>
    </row>
    <row r="157" spans="1:4" x14ac:dyDescent="0.25">
      <c r="A157" s="2" t="str">
        <f>"3.1.2.02.05- Compl. Auxilio Doenca"</f>
        <v>3.1.2.02.05- Compl. Auxilio Doenca</v>
      </c>
      <c r="B157" s="9">
        <v>38691.379999999997</v>
      </c>
      <c r="C157" s="9">
        <v>29577.38</v>
      </c>
      <c r="D157" s="9">
        <v>68268.759999999995</v>
      </c>
    </row>
    <row r="158" spans="1:4" x14ac:dyDescent="0.25">
      <c r="A158" s="2" t="str">
        <f>"3.1.2.02.07- Auxilio Creche"</f>
        <v>3.1.2.02.07- Auxilio Creche</v>
      </c>
      <c r="B158" s="9">
        <v>41000.519999999997</v>
      </c>
      <c r="C158" s="9">
        <v>14050.74</v>
      </c>
      <c r="D158" s="9">
        <v>55051.26</v>
      </c>
    </row>
    <row r="159" spans="1:4" x14ac:dyDescent="0.25">
      <c r="A159" s="2" t="str">
        <f>"3.1.3.00.00- MATERIAIS"</f>
        <v>3.1.3.00.00- MATERIAIS</v>
      </c>
      <c r="B159" s="9">
        <v>127262.47</v>
      </c>
      <c r="C159" s="9">
        <v>204263.42</v>
      </c>
      <c r="D159" s="9">
        <v>331525.89</v>
      </c>
    </row>
    <row r="160" spans="1:4" x14ac:dyDescent="0.25">
      <c r="A160" s="2" t="str">
        <f>"3.1.3.00.01- Bens de natureza permanente"</f>
        <v>3.1.3.00.01- Bens de natureza permanente</v>
      </c>
      <c r="B160" s="9">
        <v>0</v>
      </c>
      <c r="C160" s="9">
        <v>175180</v>
      </c>
      <c r="D160" s="9">
        <v>175180</v>
      </c>
    </row>
    <row r="161" spans="1:4" x14ac:dyDescent="0.25">
      <c r="A161" s="2" t="str">
        <f>"3.1.3.00.09- Material limp/conserv/copa/cozin"</f>
        <v>3.1.3.00.09- Material limp/conserv/copa/cozin</v>
      </c>
      <c r="B161" s="9">
        <v>43297</v>
      </c>
      <c r="C161" s="9">
        <v>19703.41</v>
      </c>
      <c r="D161" s="9">
        <v>63000.41</v>
      </c>
    </row>
    <row r="162" spans="1:4" x14ac:dyDescent="0.25">
      <c r="A162" s="2" t="str">
        <f>"3.1.3.00.10- Impressos e material de escritorio"</f>
        <v>3.1.3.00.10- Impressos e material de escritorio</v>
      </c>
      <c r="B162" s="9">
        <v>32617.01</v>
      </c>
      <c r="C162" s="9">
        <v>2237.2199999999998</v>
      </c>
      <c r="D162" s="9">
        <v>34854.230000000003</v>
      </c>
    </row>
    <row r="163" spans="1:4" x14ac:dyDescent="0.25">
      <c r="A163" s="2" t="str">
        <f>"3.1.3.00.11- Materiais manut. inst. prediais"</f>
        <v>3.1.3.00.11- Materiais manut. inst. prediais</v>
      </c>
      <c r="B163" s="9">
        <v>28498.11</v>
      </c>
      <c r="C163" s="9">
        <v>3429.75</v>
      </c>
      <c r="D163" s="9">
        <v>31927.86</v>
      </c>
    </row>
    <row r="164" spans="1:4" x14ac:dyDescent="0.25">
      <c r="A164" s="2" t="str">
        <f>"3.1.3.00.15- Materiais e supriment informatic"</f>
        <v>3.1.3.00.15- Materiais e supriment informatic</v>
      </c>
      <c r="B164" s="9">
        <v>21570.35</v>
      </c>
      <c r="C164" s="9">
        <v>3713.04</v>
      </c>
      <c r="D164" s="9">
        <v>25283.39</v>
      </c>
    </row>
    <row r="165" spans="1:4" x14ac:dyDescent="0.25">
      <c r="A165" s="2" t="str">
        <f>"3.1.3.00.99- Outros materiais"</f>
        <v>3.1.3.00.99- Outros materiais</v>
      </c>
      <c r="B165" s="9">
        <v>1280</v>
      </c>
      <c r="C165" s="9">
        <v>0</v>
      </c>
      <c r="D165" s="9">
        <v>1280</v>
      </c>
    </row>
    <row r="166" spans="1:4" x14ac:dyDescent="0.25">
      <c r="A166" s="2" t="str">
        <f>"3.1.4.00.00- SERVICOS PRESTADOS POR TERCEIROS"</f>
        <v>3.1.4.00.00- SERVICOS PRESTADOS POR TERCEIROS</v>
      </c>
      <c r="B166" s="9">
        <v>14454388.84</v>
      </c>
      <c r="C166" s="9">
        <v>5108724.7699999996</v>
      </c>
      <c r="D166" s="9">
        <v>19563113.609999999</v>
      </c>
    </row>
    <row r="167" spans="1:4" x14ac:dyDescent="0.25">
      <c r="A167" s="2" t="str">
        <f>"3.1.4.00.01- Consultoria"</f>
        <v>3.1.4.00.01- Consultoria</v>
      </c>
      <c r="B167" s="9">
        <v>9196.15</v>
      </c>
      <c r="C167" s="9">
        <v>2556.8000000000002</v>
      </c>
      <c r="D167" s="9">
        <v>11752.95</v>
      </c>
    </row>
    <row r="168" spans="1:4" x14ac:dyDescent="0.25">
      <c r="A168" s="2" t="str">
        <f>"3.1.4.00.02- Locacao de veiculos"</f>
        <v>3.1.4.00.02- Locacao de veiculos</v>
      </c>
      <c r="B168" s="9">
        <v>20325.240000000002</v>
      </c>
      <c r="C168" s="9">
        <v>6775.08</v>
      </c>
      <c r="D168" s="9">
        <v>27100.32</v>
      </c>
    </row>
    <row r="169" spans="1:4" x14ac:dyDescent="0.25">
      <c r="A169" s="2" t="str">
        <f>"3.1.4.00.03- Locacao de equipamentos"</f>
        <v>3.1.4.00.03- Locacao de equipamentos</v>
      </c>
      <c r="B169" s="9">
        <v>17581.740000000002</v>
      </c>
      <c r="C169" s="9">
        <v>7295.93</v>
      </c>
      <c r="D169" s="9">
        <v>24877.67</v>
      </c>
    </row>
    <row r="170" spans="1:4" x14ac:dyDescent="0.25">
      <c r="A170" s="2" t="str">
        <f>"3.1.4.00.08- Servicos de auditoria"</f>
        <v>3.1.4.00.08- Servicos de auditoria</v>
      </c>
      <c r="B170" s="9">
        <v>0</v>
      </c>
      <c r="C170" s="9">
        <v>12200</v>
      </c>
      <c r="D170" s="9">
        <v>12200</v>
      </c>
    </row>
    <row r="171" spans="1:4" x14ac:dyDescent="0.25">
      <c r="A171" s="2" t="str">
        <f>"3.1.4.00.10- Mao de obra contratada"</f>
        <v>3.1.4.00.10- Mao de obra contratada</v>
      </c>
      <c r="B171" s="9">
        <v>11893671.01</v>
      </c>
      <c r="C171" s="9">
        <v>4051405.44</v>
      </c>
      <c r="D171" s="9">
        <v>15945076.449999999</v>
      </c>
    </row>
    <row r="172" spans="1:4" x14ac:dyDescent="0.25">
      <c r="A172" s="2" t="str">
        <f>"3.1.4.00.13- Publicidade e divulgacao"</f>
        <v>3.1.4.00.13- Publicidade e divulgacao</v>
      </c>
      <c r="B172" s="9">
        <v>4444</v>
      </c>
      <c r="C172" s="9">
        <v>10920</v>
      </c>
      <c r="D172" s="9">
        <v>15364</v>
      </c>
    </row>
    <row r="173" spans="1:4" x14ac:dyDescent="0.25">
      <c r="A173" s="2" t="str">
        <f>"3.1.4.00.14- Informatica-serv. e/ou locacao"</f>
        <v>3.1.4.00.14- Informatica-serv. e/ou locacao</v>
      </c>
      <c r="B173" s="9">
        <v>785679.86</v>
      </c>
      <c r="C173" s="9">
        <v>317451.13</v>
      </c>
      <c r="D173" s="9">
        <v>1103130.99</v>
      </c>
    </row>
    <row r="174" spans="1:4" x14ac:dyDescent="0.25">
      <c r="A174" s="2" t="str">
        <f>"3.1.4.00.15- Outros serv. prestados - PF"</f>
        <v>3.1.4.00.15- Outros serv. prestados - PF</v>
      </c>
      <c r="B174" s="9">
        <v>43825.91</v>
      </c>
      <c r="C174" s="9">
        <v>45703.65</v>
      </c>
      <c r="D174" s="9">
        <v>89529.56</v>
      </c>
    </row>
    <row r="175" spans="1:4" x14ac:dyDescent="0.25">
      <c r="A175" s="2" t="str">
        <f>"3.1.4.00.16- Outros serv. Prestados - PJ"</f>
        <v>3.1.4.00.16- Outros serv. Prestados - PJ</v>
      </c>
      <c r="B175" s="9">
        <v>271386.8</v>
      </c>
      <c r="C175" s="9">
        <v>91621.75</v>
      </c>
      <c r="D175" s="9">
        <v>363008.55</v>
      </c>
    </row>
    <row r="176" spans="1:4" x14ac:dyDescent="0.25">
      <c r="A176" s="2" t="str">
        <f>"3.1.4.00.17- Servicos postais"</f>
        <v>3.1.4.00.17- Servicos postais</v>
      </c>
      <c r="B176" s="9">
        <v>30824.9</v>
      </c>
      <c r="C176" s="9">
        <v>6917.95</v>
      </c>
      <c r="D176" s="9">
        <v>37742.85</v>
      </c>
    </row>
    <row r="177" spans="1:4" x14ac:dyDescent="0.25">
      <c r="A177" s="2" t="str">
        <f>"3.1.4.00.19- Manut. imoveis/instal/equip.oper"</f>
        <v>3.1.4.00.19- Manut. imoveis/instal/equip.oper</v>
      </c>
      <c r="B177" s="9">
        <v>30479.13</v>
      </c>
      <c r="C177" s="9">
        <v>58315.57</v>
      </c>
      <c r="D177" s="9">
        <v>88794.7</v>
      </c>
    </row>
    <row r="178" spans="1:4" x14ac:dyDescent="0.25">
      <c r="A178" s="2" t="str">
        <f>"3.1.4.00.26- Serv.limp.conserv."</f>
        <v>3.1.4.00.26- Serv.limp.conserv.</v>
      </c>
      <c r="B178" s="9">
        <v>825643.67</v>
      </c>
      <c r="C178" s="9">
        <v>296461.32</v>
      </c>
      <c r="D178" s="9">
        <v>1122104.99</v>
      </c>
    </row>
    <row r="179" spans="1:4" x14ac:dyDescent="0.25">
      <c r="A179" s="2" t="str">
        <f>"3.1.4.00.33- Vale Ref./Al.terceir."</f>
        <v>3.1.4.00.33- Vale Ref./Al.terceir.</v>
      </c>
      <c r="B179" s="9">
        <v>190963.46</v>
      </c>
      <c r="C179" s="9">
        <v>0</v>
      </c>
      <c r="D179" s="9">
        <v>190963.46</v>
      </c>
    </row>
    <row r="180" spans="1:4" x14ac:dyDescent="0.25">
      <c r="A180" s="2" t="str">
        <f>"3.1.4.00.36- (-) Desconto ISSQN conf Lei 9145 serv. P"</f>
        <v>3.1.4.00.36- (-) Desconto ISSQN conf Lei 9145 serv. P</v>
      </c>
      <c r="B180" s="9">
        <v>-5019.17</v>
      </c>
      <c r="C180" s="9">
        <v>0</v>
      </c>
      <c r="D180" s="9">
        <v>-5019.17</v>
      </c>
    </row>
    <row r="181" spans="1:4" x14ac:dyDescent="0.25">
      <c r="A181" s="2" t="str">
        <f>"3.1.4.00.39- Convênio Guarda Municipal"</f>
        <v>3.1.4.00.39- Convênio Guarda Municipal</v>
      </c>
      <c r="B181" s="9">
        <v>335386.14</v>
      </c>
      <c r="C181" s="9">
        <v>201100.15</v>
      </c>
      <c r="D181" s="9">
        <v>536486.29</v>
      </c>
    </row>
    <row r="182" spans="1:4" x14ac:dyDescent="0.25">
      <c r="A182" s="2" t="str">
        <f>"3.1.5.00.00- TARIFAS PUBLICAS"</f>
        <v>3.1.5.00.00- TARIFAS PUBLICAS</v>
      </c>
      <c r="B182" s="9">
        <v>397390.71</v>
      </c>
      <c r="C182" s="9">
        <v>57093.55</v>
      </c>
      <c r="D182" s="9">
        <v>454484.26</v>
      </c>
    </row>
    <row r="183" spans="1:4" x14ac:dyDescent="0.25">
      <c r="A183" s="2" t="str">
        <f>"3.1.5.00.02- Energia eletrica"</f>
        <v>3.1.5.00.02- Energia eletrica</v>
      </c>
      <c r="B183" s="9">
        <v>2438.19</v>
      </c>
      <c r="C183" s="9">
        <v>325.51</v>
      </c>
      <c r="D183" s="9">
        <v>2763.7</v>
      </c>
    </row>
    <row r="184" spans="1:4" x14ac:dyDescent="0.25">
      <c r="A184" s="2" t="str">
        <f>"3.1.5.00.03- Telefone"</f>
        <v>3.1.5.00.03- Telefone</v>
      </c>
      <c r="B184" s="9">
        <v>116968.65</v>
      </c>
      <c r="C184" s="9">
        <v>47592.43</v>
      </c>
      <c r="D184" s="9">
        <v>164561.07999999999</v>
      </c>
    </row>
    <row r="185" spans="1:4" x14ac:dyDescent="0.25">
      <c r="A185" s="2" t="str">
        <f>"3.1.5.00.04- Copasa/FMS"</f>
        <v>3.1.5.00.04- Copasa/FMS</v>
      </c>
      <c r="B185" s="9">
        <v>277983.87</v>
      </c>
      <c r="C185" s="9">
        <v>9175.61</v>
      </c>
      <c r="D185" s="9">
        <v>287159.48</v>
      </c>
    </row>
    <row r="186" spans="1:4" x14ac:dyDescent="0.25">
      <c r="A186" s="2" t="str">
        <f>"3.1.6.00.00- DESPESAS TRIBUTARIAS"</f>
        <v>3.1.6.00.00- DESPESAS TRIBUTARIAS</v>
      </c>
      <c r="B186" s="9">
        <v>922004.89</v>
      </c>
      <c r="C186" s="9">
        <v>346373.01</v>
      </c>
      <c r="D186" s="9">
        <v>1268377.8999999999</v>
      </c>
    </row>
    <row r="187" spans="1:4" x14ac:dyDescent="0.25">
      <c r="A187" s="2" t="str">
        <f>"3.1.6.00.01- Taxas legais"</f>
        <v>3.1.6.00.01- Taxas legais</v>
      </c>
      <c r="B187" s="9">
        <v>997.16</v>
      </c>
      <c r="C187" s="9">
        <v>0</v>
      </c>
      <c r="D187" s="9">
        <v>997.16</v>
      </c>
    </row>
    <row r="188" spans="1:4" x14ac:dyDescent="0.25">
      <c r="A188" s="2" t="str">
        <f>"3.1.6.00.03- IOF"</f>
        <v>3.1.6.00.03- IOF</v>
      </c>
      <c r="B188" s="9">
        <v>11443.36</v>
      </c>
      <c r="C188" s="9">
        <v>5398.94</v>
      </c>
      <c r="D188" s="9">
        <v>16842.3</v>
      </c>
    </row>
    <row r="189" spans="1:4" x14ac:dyDescent="0.25">
      <c r="A189" s="2" t="str">
        <f>"3.1.6.00.05- Contrib. Social s/lucro liquido"</f>
        <v>3.1.6.00.05- Contrib. Social s/lucro liquido</v>
      </c>
      <c r="B189" s="9">
        <v>90299.12</v>
      </c>
      <c r="C189" s="9">
        <v>0</v>
      </c>
      <c r="D189" s="9">
        <v>90299.12</v>
      </c>
    </row>
    <row r="190" spans="1:4" x14ac:dyDescent="0.25">
      <c r="A190" s="2" t="str">
        <f>"3.1.6.00.06- PIS"</f>
        <v>3.1.6.00.06- PIS</v>
      </c>
      <c r="B190" s="9">
        <v>137517.51</v>
      </c>
      <c r="C190" s="9">
        <v>57750.58</v>
      </c>
      <c r="D190" s="9">
        <v>195268.09</v>
      </c>
    </row>
    <row r="191" spans="1:4" x14ac:dyDescent="0.25">
      <c r="A191" s="2" t="str">
        <f>"3.1.6.00.07- COFINS"</f>
        <v>3.1.6.00.07- COFINS</v>
      </c>
      <c r="B191" s="9">
        <v>633413.98</v>
      </c>
      <c r="C191" s="9">
        <v>266002.65000000002</v>
      </c>
      <c r="D191" s="9">
        <v>899416.63</v>
      </c>
    </row>
    <row r="192" spans="1:4" x14ac:dyDescent="0.25">
      <c r="A192" s="2" t="str">
        <f>"3.1.6.00.14- Contrib.entid.classe"</f>
        <v>3.1.6.00.14- Contrib.entid.classe</v>
      </c>
      <c r="B192" s="9">
        <v>5768.32</v>
      </c>
      <c r="C192" s="9">
        <v>108.39</v>
      </c>
      <c r="D192" s="9">
        <v>5876.71</v>
      </c>
    </row>
    <row r="193" spans="1:4" x14ac:dyDescent="0.25">
      <c r="A193" s="2" t="str">
        <f>"3.1.6.00.15- INSS Serv.terceiros"</f>
        <v>3.1.6.00.15- INSS Serv.terceiros</v>
      </c>
      <c r="B193" s="9">
        <v>12785.85</v>
      </c>
      <c r="C193" s="9">
        <v>5132.32</v>
      </c>
      <c r="D193" s="9">
        <v>17918.169999999998</v>
      </c>
    </row>
    <row r="194" spans="1:4" x14ac:dyDescent="0.25">
      <c r="A194" s="2" t="str">
        <f>"3.1.6.00.17- PIS s/ receitas financeiras"</f>
        <v>3.1.6.00.17- PIS s/ receitas financeiras</v>
      </c>
      <c r="B194" s="9">
        <v>4162.74</v>
      </c>
      <c r="C194" s="9">
        <v>1674.64</v>
      </c>
      <c r="D194" s="9">
        <v>5837.38</v>
      </c>
    </row>
    <row r="195" spans="1:4" x14ac:dyDescent="0.25">
      <c r="A195" s="2" t="str">
        <f>"3.1.6.00.18- Cofins s/ receitas financeiras"</f>
        <v>3.1.6.00.18- Cofins s/ receitas financeiras</v>
      </c>
      <c r="B195" s="9">
        <v>25616.85</v>
      </c>
      <c r="C195" s="9">
        <v>10305.49</v>
      </c>
      <c r="D195" s="9">
        <v>35922.339999999997</v>
      </c>
    </row>
    <row r="196" spans="1:4" x14ac:dyDescent="0.25">
      <c r="A196" s="2" t="str">
        <f>"3.1.7.00.00- DESPESAS FINANCEIRAS"</f>
        <v>3.1.7.00.00- DESPESAS FINANCEIRAS</v>
      </c>
      <c r="B196" s="9">
        <v>2272.59</v>
      </c>
      <c r="C196" s="9">
        <v>201.27</v>
      </c>
      <c r="D196" s="9">
        <v>2473.86</v>
      </c>
    </row>
    <row r="197" spans="1:4" x14ac:dyDescent="0.25">
      <c r="A197" s="2" t="str">
        <f>"3.1.7.01.01- Juros passivos curto prazo"</f>
        <v>3.1.7.01.01- Juros passivos curto prazo</v>
      </c>
      <c r="B197" s="9">
        <v>1805.98</v>
      </c>
      <c r="C197" s="9">
        <v>0</v>
      </c>
      <c r="D197" s="9">
        <v>1805.98</v>
      </c>
    </row>
    <row r="198" spans="1:4" x14ac:dyDescent="0.25">
      <c r="A198" s="2" t="str">
        <f>"3.1.7.01.02- Despesas bancarias"</f>
        <v>3.1.7.01.02- Despesas bancarias</v>
      </c>
      <c r="B198" s="9">
        <v>466.61</v>
      </c>
      <c r="C198" s="9">
        <v>201.27</v>
      </c>
      <c r="D198" s="9">
        <v>667.88</v>
      </c>
    </row>
    <row r="199" spans="1:4" x14ac:dyDescent="0.25">
      <c r="A199" s="2" t="str">
        <f>"3.1.8.00.00- OUTRAS DESPESAS"</f>
        <v>3.1.8.00.00- OUTRAS DESPESAS</v>
      </c>
      <c r="B199" s="9">
        <v>1190605.1100000001</v>
      </c>
      <c r="C199" s="9">
        <v>532080.09</v>
      </c>
      <c r="D199" s="9">
        <v>1722685.2</v>
      </c>
    </row>
    <row r="200" spans="1:4" x14ac:dyDescent="0.25">
      <c r="A200" s="2" t="str">
        <f>"3.1.8.00.01- Despesas de viagem"</f>
        <v>3.1.8.00.01- Despesas de viagem</v>
      </c>
      <c r="B200" s="9">
        <v>9683.0300000000007</v>
      </c>
      <c r="C200" s="9">
        <v>1795.92</v>
      </c>
      <c r="D200" s="9">
        <v>11478.95</v>
      </c>
    </row>
    <row r="201" spans="1:4" x14ac:dyDescent="0.25">
      <c r="A201" s="2" t="str">
        <f>"3.1.8.00.05- Depreciacao/amort"</f>
        <v>3.1.8.00.05- Depreciacao/amort</v>
      </c>
      <c r="B201" s="9">
        <v>75544.12</v>
      </c>
      <c r="C201" s="9">
        <v>25159.13</v>
      </c>
      <c r="D201" s="9">
        <v>100703.25</v>
      </c>
    </row>
    <row r="202" spans="1:4" x14ac:dyDescent="0.25">
      <c r="A202" s="2" t="str">
        <f>"3.1.8.00.06- Seguros bens moveis e imoveis"</f>
        <v>3.1.8.00.06- Seguros bens moveis e imoveis</v>
      </c>
      <c r="B202" s="9">
        <v>7168.15</v>
      </c>
      <c r="C202" s="9">
        <v>2412.0500000000002</v>
      </c>
      <c r="D202" s="9">
        <v>9580.2000000000007</v>
      </c>
    </row>
    <row r="203" spans="1:4" x14ac:dyDescent="0.25">
      <c r="A203" s="2" t="str">
        <f>"3.1.8.00.12- Acoes judiciais terceiros"</f>
        <v>3.1.8.00.12- Acoes judiciais terceiros</v>
      </c>
      <c r="B203" s="9">
        <v>0</v>
      </c>
      <c r="C203" s="9">
        <v>9844.84</v>
      </c>
      <c r="D203" s="9">
        <v>9844.84</v>
      </c>
    </row>
    <row r="204" spans="1:4" x14ac:dyDescent="0.25">
      <c r="A204" s="2" t="str">
        <f>"3.1.8.00.19- Premios do concurso de video"</f>
        <v>3.1.8.00.19- Premios do concurso de video</v>
      </c>
      <c r="B204" s="9">
        <v>12000</v>
      </c>
      <c r="C204" s="9">
        <v>0</v>
      </c>
      <c r="D204" s="9">
        <v>12000</v>
      </c>
    </row>
    <row r="205" spans="1:4" x14ac:dyDescent="0.25">
      <c r="A205" s="2" t="str">
        <f>"3.1.8.00.21- Perdas no recebimento de credito"</f>
        <v>3.1.8.00.21- Perdas no recebimento de credito</v>
      </c>
      <c r="B205" s="9">
        <v>22054.71</v>
      </c>
      <c r="C205" s="9">
        <v>0</v>
      </c>
      <c r="D205" s="9">
        <v>22054.71</v>
      </c>
    </row>
    <row r="206" spans="1:4" x14ac:dyDescent="0.25">
      <c r="A206" s="2" t="str">
        <f>"3.1.8.00.23- Custas/Despesas Judiciais"</f>
        <v>3.1.8.00.23- Custas/Despesas Judiciais</v>
      </c>
      <c r="B206" s="9">
        <v>39884.17</v>
      </c>
      <c r="C206" s="9">
        <v>11141</v>
      </c>
      <c r="D206" s="9">
        <v>51025.17</v>
      </c>
    </row>
    <row r="207" spans="1:4" x14ac:dyDescent="0.25">
      <c r="A207" s="2" t="str">
        <f>"3.1.8.00.30- Estacionamento Rotativo Digital"</f>
        <v>3.1.8.00.30- Estacionamento Rotativo Digital</v>
      </c>
      <c r="B207" s="9">
        <v>1017466.26</v>
      </c>
      <c r="C207" s="9">
        <v>463587.26</v>
      </c>
      <c r="D207" s="9">
        <v>1481053.52</v>
      </c>
    </row>
    <row r="208" spans="1:4" x14ac:dyDescent="0.25">
      <c r="A208" s="2" t="str">
        <f>"3.1.8.00.99- Despesas diversas"</f>
        <v>3.1.8.00.99- Despesas diversas</v>
      </c>
      <c r="B208" s="9">
        <v>6804.67</v>
      </c>
      <c r="C208" s="9">
        <v>18139.89</v>
      </c>
      <c r="D208" s="9">
        <v>24944.560000000001</v>
      </c>
    </row>
    <row r="209" spans="1:4" x14ac:dyDescent="0.25">
      <c r="A209" s="2" t="str">
        <f>""</f>
        <v/>
      </c>
      <c r="B209" s="3" t="str">
        <f>""</f>
        <v/>
      </c>
      <c r="C209" s="3" t="str">
        <f>""</f>
        <v/>
      </c>
      <c r="D209" s="3" t="str">
        <f>""</f>
        <v/>
      </c>
    </row>
    <row r="210" spans="1:4" x14ac:dyDescent="0.25">
      <c r="A210" s="2" t="str">
        <f>"RECEITAS"</f>
        <v>RECEITAS</v>
      </c>
      <c r="B210" s="3" t="str">
        <f>""</f>
        <v/>
      </c>
      <c r="C210" s="3" t="str">
        <f>""</f>
        <v/>
      </c>
      <c r="D210" s="3" t="str">
        <f>""</f>
        <v/>
      </c>
    </row>
    <row r="211" spans="1:4" x14ac:dyDescent="0.25">
      <c r="A211" s="2" t="str">
        <f>"4.0.0.00.00- RECEITAS"</f>
        <v>4.0.0.00.00- RECEITAS</v>
      </c>
      <c r="B211" s="9">
        <v>71719242.989999995</v>
      </c>
      <c r="C211" s="9">
        <v>27933508.09</v>
      </c>
      <c r="D211" s="9">
        <v>99652751.079999998</v>
      </c>
    </row>
    <row r="212" spans="1:4" x14ac:dyDescent="0.25">
      <c r="A212" s="2" t="str">
        <f>"4.1.0.00.00- RECEITAS BHTRANS"</f>
        <v>4.1.0.00.00- RECEITAS BHTRANS</v>
      </c>
      <c r="B212" s="9">
        <v>8045745.5999999996</v>
      </c>
      <c r="C212" s="9">
        <v>3410756.69</v>
      </c>
      <c r="D212" s="9">
        <v>11456502.289999999</v>
      </c>
    </row>
    <row r="213" spans="1:4" x14ac:dyDescent="0.25">
      <c r="A213" s="2" t="str">
        <f>"4.1.1.00.00- RECEITAS OPERACIONAIS"</f>
        <v>4.1.1.00.00- RECEITAS OPERACIONAIS</v>
      </c>
      <c r="B213" s="9">
        <v>7524000</v>
      </c>
      <c r="C213" s="9">
        <v>3291750</v>
      </c>
      <c r="D213" s="9">
        <v>10815750</v>
      </c>
    </row>
    <row r="214" spans="1:4" x14ac:dyDescent="0.25">
      <c r="A214" s="2" t="str">
        <f>"4.1.1.00.21- Estacionamento Rotativo Digital"</f>
        <v>4.1.1.00.21- Estacionamento Rotativo Digital</v>
      </c>
      <c r="B214" s="9">
        <v>7524000</v>
      </c>
      <c r="C214" s="9">
        <v>3291750</v>
      </c>
      <c r="D214" s="9">
        <v>10815750</v>
      </c>
    </row>
    <row r="215" spans="1:4" x14ac:dyDescent="0.25">
      <c r="A215" s="2" t="str">
        <f>"4.1.8.00.00- RECEITAS ALUGUEIS ESTACOES"</f>
        <v>4.1.8.00.00- RECEITAS ALUGUEIS ESTACOES</v>
      </c>
      <c r="B215" s="9">
        <v>521745.6</v>
      </c>
      <c r="C215" s="9">
        <v>119006.69</v>
      </c>
      <c r="D215" s="9">
        <v>640752.29</v>
      </c>
    </row>
    <row r="216" spans="1:4" x14ac:dyDescent="0.25">
      <c r="A216" s="2" t="str">
        <f>"4.1.8.00.01- Alugueis Estacoes"</f>
        <v>4.1.8.00.01- Alugueis Estacoes</v>
      </c>
      <c r="B216" s="9">
        <v>521745.6</v>
      </c>
      <c r="C216" s="9">
        <v>119006.69</v>
      </c>
      <c r="D216" s="9">
        <v>640752.29</v>
      </c>
    </row>
    <row r="217" spans="1:4" x14ac:dyDescent="0.25">
      <c r="A217" s="2" t="str">
        <f>"4.2.0.00.00- RECEITAS FINANCEIRAS"</f>
        <v>4.2.0.00.00- RECEITAS FINANCEIRAS</v>
      </c>
      <c r="B217" s="9">
        <v>640421.24</v>
      </c>
      <c r="C217" s="9">
        <v>257637.25</v>
      </c>
      <c r="D217" s="9">
        <v>898058.49</v>
      </c>
    </row>
    <row r="218" spans="1:4" x14ac:dyDescent="0.25">
      <c r="A218" s="2" t="str">
        <f>"4.2.1.00.00- RECEITAS FINANCEIRAS"</f>
        <v>4.2.1.00.00- RECEITAS FINANCEIRAS</v>
      </c>
      <c r="B218" s="9">
        <v>640421.24</v>
      </c>
      <c r="C218" s="9">
        <v>257637.25</v>
      </c>
      <c r="D218" s="9">
        <v>898058.49</v>
      </c>
    </row>
    <row r="219" spans="1:4" x14ac:dyDescent="0.25">
      <c r="A219" s="2" t="str">
        <f>"4.2.1.00.01- Rendimentos aplic. Financeira"</f>
        <v>4.2.1.00.01- Rendimentos aplic. Financeira</v>
      </c>
      <c r="B219" s="9">
        <v>640159.18000000005</v>
      </c>
      <c r="C219" s="9">
        <v>256588.19</v>
      </c>
      <c r="D219" s="9">
        <v>896747.37</v>
      </c>
    </row>
    <row r="220" spans="1:4" x14ac:dyDescent="0.25">
      <c r="A220" s="2" t="str">
        <f>"4.2.1.00.05- Receitas Financeiras"</f>
        <v>4.2.1.00.05- Receitas Financeiras</v>
      </c>
      <c r="B220" s="9">
        <v>262.06</v>
      </c>
      <c r="C220" s="9">
        <v>1049.06</v>
      </c>
      <c r="D220" s="9">
        <v>1311.12</v>
      </c>
    </row>
    <row r="221" spans="1:4" x14ac:dyDescent="0.25">
      <c r="A221" s="2" t="str">
        <f>"4.3.0.00.00- OUTRAS RECEITAS"</f>
        <v>4.3.0.00.00- OUTRAS RECEITAS</v>
      </c>
      <c r="B221" s="9">
        <v>63033076.149999999</v>
      </c>
      <c r="C221" s="9">
        <v>24265114.149999999</v>
      </c>
      <c r="D221" s="9">
        <v>87298190.299999997</v>
      </c>
    </row>
    <row r="222" spans="1:4" x14ac:dyDescent="0.25">
      <c r="A222" s="2" t="str">
        <f>"4.3.1.00.00- OUTRAS RECEITAS"</f>
        <v>4.3.1.00.00- OUTRAS RECEITAS</v>
      </c>
      <c r="B222" s="9">
        <v>63033076.149999999</v>
      </c>
      <c r="C222" s="9">
        <v>24265114.149999999</v>
      </c>
      <c r="D222" s="9">
        <v>87298190.299999997</v>
      </c>
    </row>
    <row r="223" spans="1:4" x14ac:dyDescent="0.25">
      <c r="A223" s="2" t="str">
        <f>"4.3.1.00.04- Receitas Diversas"</f>
        <v>4.3.1.00.04- Receitas Diversas</v>
      </c>
      <c r="B223" s="9">
        <v>288648.84999999998</v>
      </c>
      <c r="C223" s="9">
        <v>89278.19</v>
      </c>
      <c r="D223" s="9">
        <v>377927.04</v>
      </c>
    </row>
    <row r="224" spans="1:4" x14ac:dyDescent="0.25">
      <c r="A224" s="2" t="str">
        <f>"4.3.1.00.10- Outras Receitas- Subvenção Econ. Custeio"</f>
        <v>4.3.1.00.10- Outras Receitas- Subvenção Econ. Custeio</v>
      </c>
      <c r="B224" s="9">
        <v>62744427.299999997</v>
      </c>
      <c r="C224" s="9">
        <v>24175835.960000001</v>
      </c>
      <c r="D224" s="9">
        <v>86920263.260000005</v>
      </c>
    </row>
    <row r="225" spans="1:4" x14ac:dyDescent="0.25">
      <c r="A225" s="2" t="str">
        <f>""</f>
        <v/>
      </c>
      <c r="B225" s="3" t="str">
        <f>""</f>
        <v/>
      </c>
      <c r="C225" s="3" t="str">
        <f>""</f>
        <v/>
      </c>
      <c r="D225" s="3" t="str">
        <f>""</f>
        <v/>
      </c>
    </row>
    <row r="226" spans="1:4" x14ac:dyDescent="0.25">
      <c r="A226" s="2" t="str">
        <f>"APURACAO DE RESULTADOS"</f>
        <v>APURACAO DE RESULTADOS</v>
      </c>
      <c r="B226" s="3" t="str">
        <f>""</f>
        <v/>
      </c>
      <c r="C226" s="3" t="str">
        <f>""</f>
        <v/>
      </c>
      <c r="D226" s="3" t="str">
        <f>""</f>
        <v/>
      </c>
    </row>
    <row r="227" spans="1:4" x14ac:dyDescent="0.25">
      <c r="A227" s="2" t="str">
        <f>"5.0.0.00.00- APURACAO DE RESULTADOS"</f>
        <v>5.0.0.00.00- APURACAO DE RESULTADOS</v>
      </c>
      <c r="B227" s="9">
        <v>-680002.76</v>
      </c>
      <c r="C227" s="9">
        <v>-364420.23</v>
      </c>
      <c r="D227" s="9">
        <v>-1044422.99</v>
      </c>
    </row>
    <row r="228" spans="1:4" x14ac:dyDescent="0.25">
      <c r="A228" s="2" t="str">
        <f>"5.1.0.00.00- APURACAO DE RESULTADOS"</f>
        <v>5.1.0.00.00- APURACAO DE RESULTADOS</v>
      </c>
      <c r="B228" s="9">
        <v>-680002.76</v>
      </c>
      <c r="C228" s="9">
        <v>-364420.23</v>
      </c>
      <c r="D228" s="9">
        <v>-1044422.99</v>
      </c>
    </row>
    <row r="229" spans="1:4" x14ac:dyDescent="0.25">
      <c r="A229" s="2" t="str">
        <f>"5.1.1.00.00- APURACAO DE RESULTADOS"</f>
        <v>5.1.1.00.00- APURACAO DE RESULTADOS</v>
      </c>
      <c r="B229" s="9">
        <v>-680002.76</v>
      </c>
      <c r="C229" s="9">
        <v>-364420.23</v>
      </c>
      <c r="D229" s="9">
        <v>-1044422.99</v>
      </c>
    </row>
    <row r="230" spans="1:4" x14ac:dyDescent="0.25">
      <c r="A230" s="2" t="str">
        <f>"5.1.1.00.01- Transferencia das Despesas"</f>
        <v>5.1.1.00.01- Transferencia das Despesas</v>
      </c>
      <c r="B230" s="9">
        <v>-72399245.75</v>
      </c>
      <c r="C230" s="9">
        <v>-28297928.32</v>
      </c>
      <c r="D230" s="9">
        <v>-100697174.06999999</v>
      </c>
    </row>
    <row r="231" spans="1:4" ht="15.75" thickBot="1" x14ac:dyDescent="0.3">
      <c r="A231" s="4" t="str">
        <f>"5.1.1.00.02- Transferencia das Receitas"</f>
        <v>5.1.1.00.02- Transferencia das Receitas</v>
      </c>
      <c r="B231" s="10">
        <v>71719242.989999995</v>
      </c>
      <c r="C231" s="10">
        <v>27933508.09</v>
      </c>
      <c r="D231" s="10">
        <v>99652751.079999998</v>
      </c>
    </row>
    <row r="232" spans="1:4" x14ac:dyDescent="0.25">
      <c r="A232" t="s">
        <v>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1FB1E-F746-4120-8AA3-F35EAF0A3629}">
  <dimension ref="A1:D235"/>
  <sheetViews>
    <sheetView workbookViewId="0">
      <selection activeCell="I229" sqref="I229"/>
    </sheetView>
  </sheetViews>
  <sheetFormatPr defaultRowHeight="15" x14ac:dyDescent="0.25"/>
  <cols>
    <col min="1" max="1" width="71.5703125" bestFit="1" customWidth="1"/>
    <col min="2" max="2" width="14.5703125" bestFit="1" customWidth="1"/>
    <col min="3" max="3" width="14.28515625" bestFit="1" customWidth="1"/>
    <col min="4" max="4" width="14.5703125" bestFit="1" customWidth="1"/>
  </cols>
  <sheetData>
    <row r="1" spans="1:4" ht="19.5" thickBot="1" x14ac:dyDescent="0.35">
      <c r="A1" s="1" t="s">
        <v>9</v>
      </c>
      <c r="B1" s="1"/>
      <c r="C1" s="1"/>
      <c r="D1" s="1"/>
    </row>
    <row r="2" spans="1:4" ht="15.75" thickBot="1" x14ac:dyDescent="0.3">
      <c r="A2" s="7" t="s">
        <v>0</v>
      </c>
      <c r="B2" s="8" t="s">
        <v>1</v>
      </c>
      <c r="C2" s="8" t="s">
        <v>2</v>
      </c>
      <c r="D2" s="8" t="s">
        <v>3</v>
      </c>
    </row>
    <row r="3" spans="1:4" x14ac:dyDescent="0.25">
      <c r="A3" s="5" t="str">
        <f>"ATIVO"</f>
        <v>ATIVO</v>
      </c>
      <c r="B3" s="6" t="str">
        <f>""</f>
        <v/>
      </c>
      <c r="C3" s="6" t="str">
        <f>""</f>
        <v/>
      </c>
      <c r="D3" s="6" t="str">
        <f>""</f>
        <v/>
      </c>
    </row>
    <row r="4" spans="1:4" x14ac:dyDescent="0.25">
      <c r="A4" s="2" t="str">
        <f>"1.0.0.00.00- ATIVO"</f>
        <v>1.0.0.00.00- ATIVO</v>
      </c>
      <c r="B4" s="9">
        <v>67431693.430000007</v>
      </c>
      <c r="C4" s="9">
        <v>-5402715.7699999996</v>
      </c>
      <c r="D4" s="9">
        <v>62028977.659999996</v>
      </c>
    </row>
    <row r="5" spans="1:4" x14ac:dyDescent="0.25">
      <c r="A5" s="2" t="str">
        <f>"1.1.0.00.00- ATIVO CIRCULANTE"</f>
        <v>1.1.0.00.00- ATIVO CIRCULANTE</v>
      </c>
      <c r="B5" s="9">
        <v>33543016.809999999</v>
      </c>
      <c r="C5" s="9">
        <v>-5453175.5700000003</v>
      </c>
      <c r="D5" s="9">
        <v>28089841.239999998</v>
      </c>
    </row>
    <row r="6" spans="1:4" x14ac:dyDescent="0.25">
      <c r="A6" s="2" t="str">
        <f>"1.1.1.00.00- DISPONIVEL"</f>
        <v>1.1.1.00.00- DISPONIVEL</v>
      </c>
      <c r="B6" s="9">
        <v>25225019.57</v>
      </c>
      <c r="C6" s="9">
        <v>-5401126.5</v>
      </c>
      <c r="D6" s="9">
        <v>19823893.07</v>
      </c>
    </row>
    <row r="7" spans="1:4" x14ac:dyDescent="0.25">
      <c r="A7" s="2" t="str">
        <f>"1.1.1.02.00- BANCOS C/MOVIMENTO"</f>
        <v>1.1.1.02.00- BANCOS C/MOVIMENTO</v>
      </c>
      <c r="B7" s="9">
        <v>447.35</v>
      </c>
      <c r="C7" s="9">
        <v>-447.35</v>
      </c>
      <c r="D7" s="9">
        <v>0</v>
      </c>
    </row>
    <row r="8" spans="1:4" x14ac:dyDescent="0.25">
      <c r="A8" s="2" t="str">
        <f>"1.1.1.02.31- Caixa Econômica Federal - 94511-6 - ROT"</f>
        <v>1.1.1.02.31- Caixa Econômica Federal - 94511-6 - ROT</v>
      </c>
      <c r="B8" s="9">
        <v>447.35</v>
      </c>
      <c r="C8" s="9">
        <v>-447.35</v>
      </c>
      <c r="D8" s="9">
        <v>0</v>
      </c>
    </row>
    <row r="9" spans="1:4" x14ac:dyDescent="0.25">
      <c r="A9" s="2" t="str">
        <f>"1.1.1.03.00- APLICACOES FINANCEIRAS"</f>
        <v>1.1.1.03.00- APLICACOES FINANCEIRAS</v>
      </c>
      <c r="B9" s="9">
        <v>23475302.289999999</v>
      </c>
      <c r="C9" s="9">
        <v>-5401512.4299999997</v>
      </c>
      <c r="D9" s="9">
        <v>18073789.859999999</v>
      </c>
    </row>
    <row r="10" spans="1:4" x14ac:dyDescent="0.25">
      <c r="A10" s="2" t="str">
        <f>"1.1.1.03.22- Caixa Econômica Federal - 94505-1"</f>
        <v>1.1.1.03.22- Caixa Econômica Federal - 94505-1</v>
      </c>
      <c r="B10" s="9">
        <v>1883496.93</v>
      </c>
      <c r="C10" s="9">
        <v>147598.12</v>
      </c>
      <c r="D10" s="9">
        <v>2031095.05</v>
      </c>
    </row>
    <row r="11" spans="1:4" x14ac:dyDescent="0.25">
      <c r="A11" s="2" t="str">
        <f>"1.1.1.03.23- Caixa Econômica Federal - 94506-0"</f>
        <v>1.1.1.03.23- Caixa Econômica Federal - 94506-0</v>
      </c>
      <c r="B11" s="9">
        <v>21533539.199999999</v>
      </c>
      <c r="C11" s="9">
        <v>-5549440.4500000002</v>
      </c>
      <c r="D11" s="9">
        <v>15984098.75</v>
      </c>
    </row>
    <row r="12" spans="1:4" x14ac:dyDescent="0.25">
      <c r="A12" s="2" t="str">
        <f>"1.1.1.03.36- Caixa Econômica Federal - 94528-0 Sucumb"</f>
        <v>1.1.1.03.36- Caixa Econômica Federal - 94528-0 Sucumb</v>
      </c>
      <c r="B12" s="9">
        <v>6387.09</v>
      </c>
      <c r="C12" s="9">
        <v>-5.63</v>
      </c>
      <c r="D12" s="9">
        <v>6381.46</v>
      </c>
    </row>
    <row r="13" spans="1:4" x14ac:dyDescent="0.25">
      <c r="A13" s="2" t="str">
        <f>"1.1.1.03.51- Banco do Brasil S/A 26485-7 Licitaç~es"</f>
        <v>1.1.1.03.51- Banco do Brasil S/A 26485-7 Licitaç~es</v>
      </c>
      <c r="B13" s="9">
        <v>51879.07</v>
      </c>
      <c r="C13" s="9">
        <v>335.53</v>
      </c>
      <c r="D13" s="9">
        <v>52214.6</v>
      </c>
    </row>
    <row r="14" spans="1:4" x14ac:dyDescent="0.25">
      <c r="A14" s="2" t="str">
        <f>"1.1.1.04.00- BANCOS C/VINCULADA"</f>
        <v>1.1.1.04.00- BANCOS C/VINCULADA</v>
      </c>
      <c r="B14" s="9">
        <v>1749269.93</v>
      </c>
      <c r="C14" s="9">
        <v>833.28</v>
      </c>
      <c r="D14" s="9">
        <v>1750103.21</v>
      </c>
    </row>
    <row r="15" spans="1:4" x14ac:dyDescent="0.25">
      <c r="A15" s="2" t="str">
        <f>"1.1.1.04.10- Caixa Econômica Federal - 94521-3 Caução"</f>
        <v>1.1.1.04.10- Caixa Econômica Federal - 94521-3 Caução</v>
      </c>
      <c r="B15" s="9">
        <v>123274.26</v>
      </c>
      <c r="C15" s="9">
        <v>143.21</v>
      </c>
      <c r="D15" s="9">
        <v>123417.47</v>
      </c>
    </row>
    <row r="16" spans="1:4" x14ac:dyDescent="0.25">
      <c r="A16" s="2" t="str">
        <f>"1.1.1.04.12- Caixa Econômica Federal - 94627-9 Leilão"</f>
        <v>1.1.1.04.12- Caixa Econômica Federal - 94627-9 Leilão</v>
      </c>
      <c r="B16" s="9">
        <v>1625995.67</v>
      </c>
      <c r="C16" s="9">
        <v>690.07</v>
      </c>
      <c r="D16" s="9">
        <v>1626685.74</v>
      </c>
    </row>
    <row r="17" spans="1:4" x14ac:dyDescent="0.25">
      <c r="A17" s="2" t="str">
        <f>"1.1.2.00.00- REALIZAVEL A CURTO PRAZO"</f>
        <v>1.1.2.00.00- REALIZAVEL A CURTO PRAZO</v>
      </c>
      <c r="B17" s="9">
        <v>8317997.2400000002</v>
      </c>
      <c r="C17" s="9">
        <v>-52049.07</v>
      </c>
      <c r="D17" s="9">
        <v>8265948.1699999999</v>
      </c>
    </row>
    <row r="18" spans="1:4" x14ac:dyDescent="0.25">
      <c r="A18" s="2" t="str">
        <f>"1.1.2.01.00- CONTAS A RECEBER"</f>
        <v>1.1.2.01.00- CONTAS A RECEBER</v>
      </c>
      <c r="B18" s="9">
        <v>253567.34</v>
      </c>
      <c r="C18" s="9">
        <v>0</v>
      </c>
      <c r="D18" s="9">
        <v>253567.34</v>
      </c>
    </row>
    <row r="19" spans="1:4" x14ac:dyDescent="0.25">
      <c r="A19" s="2" t="str">
        <f>"1.1.2.01.94- Midia Onibus a Receber"</f>
        <v>1.1.2.01.94- Midia Onibus a Receber</v>
      </c>
      <c r="B19" s="9">
        <v>253567.34</v>
      </c>
      <c r="C19" s="9">
        <v>0</v>
      </c>
      <c r="D19" s="9">
        <v>253567.34</v>
      </c>
    </row>
    <row r="20" spans="1:4" x14ac:dyDescent="0.25">
      <c r="A20" s="2" t="str">
        <f>"1.1.2.04.00- CONVÊNIOS A RECEBER"</f>
        <v>1.1.2.04.00- CONVÊNIOS A RECEBER</v>
      </c>
      <c r="B20" s="9">
        <v>13218.5</v>
      </c>
      <c r="C20" s="9">
        <v>-13218.5</v>
      </c>
      <c r="D20" s="9">
        <v>0</v>
      </c>
    </row>
    <row r="21" spans="1:4" x14ac:dyDescent="0.25">
      <c r="A21" s="2" t="str">
        <f>"1.1.2.04.99- Convenios cedidos a receber"</f>
        <v>1.1.2.04.99- Convenios cedidos a receber</v>
      </c>
      <c r="B21" s="9">
        <v>13218.5</v>
      </c>
      <c r="C21" s="9">
        <v>-13218.5</v>
      </c>
      <c r="D21" s="9">
        <v>0</v>
      </c>
    </row>
    <row r="22" spans="1:4" x14ac:dyDescent="0.25">
      <c r="A22" s="2" t="str">
        <f>"1.1.2.06.00- ADIANTAMENTO A EMPREGADOS"</f>
        <v>1.1.2.06.00- ADIANTAMENTO A EMPREGADOS</v>
      </c>
      <c r="B22" s="9">
        <v>3086017.21</v>
      </c>
      <c r="C22" s="9">
        <v>-166051.26</v>
      </c>
      <c r="D22" s="9">
        <v>2919965.95</v>
      </c>
    </row>
    <row r="23" spans="1:4" x14ac:dyDescent="0.25">
      <c r="A23" s="2" t="str">
        <f>"1.1.2.06.01- Adiantamento de Ferias"</f>
        <v>1.1.2.06.01- Adiantamento de Ferias</v>
      </c>
      <c r="B23" s="9">
        <v>1271733.05</v>
      </c>
      <c r="C23" s="9">
        <v>-327612.40000000002</v>
      </c>
      <c r="D23" s="9">
        <v>944120.65</v>
      </c>
    </row>
    <row r="24" spans="1:4" x14ac:dyDescent="0.25">
      <c r="A24" s="2" t="str">
        <f>"1.1.2.06.02- Adiantamento de 13. Salario"</f>
        <v>1.1.2.06.02- Adiantamento de 13. Salario</v>
      </c>
      <c r="B24" s="9">
        <v>1789360.93</v>
      </c>
      <c r="C24" s="9">
        <v>157590.75</v>
      </c>
      <c r="D24" s="9">
        <v>1946951.6799999999</v>
      </c>
    </row>
    <row r="25" spans="1:4" x14ac:dyDescent="0.25">
      <c r="A25" s="2" t="str">
        <f>"1.1.2.06.03- Adiant. de Salario/Parc. Ferias"</f>
        <v>1.1.2.06.03- Adiant. de Salario/Parc. Ferias</v>
      </c>
      <c r="B25" s="9">
        <v>17209.39</v>
      </c>
      <c r="C25" s="9">
        <v>6575.19</v>
      </c>
      <c r="D25" s="9">
        <v>23784.58</v>
      </c>
    </row>
    <row r="26" spans="1:4" x14ac:dyDescent="0.25">
      <c r="A26" s="2" t="str">
        <f>"1.1.2.06.07- Adiantamento Pensao s/ Ferias"</f>
        <v>1.1.2.06.07- Adiantamento Pensao s/ Ferias</v>
      </c>
      <c r="B26" s="9">
        <v>7713.84</v>
      </c>
      <c r="C26" s="9">
        <v>-2604.8000000000002</v>
      </c>
      <c r="D26" s="9">
        <v>5109.04</v>
      </c>
    </row>
    <row r="27" spans="1:4" x14ac:dyDescent="0.25">
      <c r="A27" s="2" t="str">
        <f>"1.1.2.08.00- ALMOXARIFADO"</f>
        <v>1.1.2.08.00- ALMOXARIFADO</v>
      </c>
      <c r="B27" s="9">
        <v>593733.77</v>
      </c>
      <c r="C27" s="9">
        <v>16017.63</v>
      </c>
      <c r="D27" s="9">
        <v>609751.4</v>
      </c>
    </row>
    <row r="28" spans="1:4" x14ac:dyDescent="0.25">
      <c r="A28" s="2" t="str">
        <f>"1.1.2.08.01- Material em Estoque"</f>
        <v>1.1.2.08.01- Material em Estoque</v>
      </c>
      <c r="B28" s="9">
        <v>593733.77</v>
      </c>
      <c r="C28" s="9">
        <v>16017.63</v>
      </c>
      <c r="D28" s="9">
        <v>609751.4</v>
      </c>
    </row>
    <row r="29" spans="1:4" x14ac:dyDescent="0.25">
      <c r="A29" s="2" t="str">
        <f>"1.1.2.10.00- IMPOSTOS E CONTRIB.A RECUPERAR"</f>
        <v>1.1.2.10.00- IMPOSTOS E CONTRIB.A RECUPERAR</v>
      </c>
      <c r="B29" s="9">
        <v>5231563.5999999996</v>
      </c>
      <c r="C29" s="9">
        <v>14134.7</v>
      </c>
      <c r="D29" s="9">
        <v>5245698.3</v>
      </c>
    </row>
    <row r="30" spans="1:4" x14ac:dyDescent="0.25">
      <c r="A30" s="2" t="str">
        <f>"1.1.2.10.01- IR s/Aplicacao Financeira"</f>
        <v>1.1.2.10.01- IR s/Aplicacao Financeira</v>
      </c>
      <c r="B30" s="9">
        <v>530819.56999999995</v>
      </c>
      <c r="C30" s="9">
        <v>-72276.7</v>
      </c>
      <c r="D30" s="9">
        <v>458542.87</v>
      </c>
    </row>
    <row r="31" spans="1:4" x14ac:dyDescent="0.25">
      <c r="A31" s="2" t="str">
        <f>"1.1.2.10.15- Cofins a Compensar"</f>
        <v>1.1.2.10.15- Cofins a Compensar</v>
      </c>
      <c r="B31" s="9">
        <v>3846119.63</v>
      </c>
      <c r="C31" s="9">
        <v>70926.11</v>
      </c>
      <c r="D31" s="9">
        <v>3917045.74</v>
      </c>
    </row>
    <row r="32" spans="1:4" x14ac:dyDescent="0.25">
      <c r="A32" s="2" t="str">
        <f>"1.1.2.10.16- PIS a Compensar"</f>
        <v>1.1.2.10.16- PIS a Compensar</v>
      </c>
      <c r="B32" s="9">
        <v>854624.4</v>
      </c>
      <c r="C32" s="9">
        <v>15485.29</v>
      </c>
      <c r="D32" s="9">
        <v>870109.69</v>
      </c>
    </row>
    <row r="33" spans="1:4" x14ac:dyDescent="0.25">
      <c r="A33" s="2" t="str">
        <f>"1.1.2.11.00- DESPESAS ANTECIPADAS"</f>
        <v>1.1.2.11.00- DESPESAS ANTECIPADAS</v>
      </c>
      <c r="B33" s="9">
        <v>6797.24</v>
      </c>
      <c r="C33" s="9">
        <v>-1374.61</v>
      </c>
      <c r="D33" s="9">
        <v>5422.63</v>
      </c>
    </row>
    <row r="34" spans="1:4" x14ac:dyDescent="0.25">
      <c r="A34" s="2" t="str">
        <f>"1.1.2.11.01- Premios de Seguros a Vencer"</f>
        <v>1.1.2.11.01- Premios de Seguros a Vencer</v>
      </c>
      <c r="B34" s="9">
        <v>6797.24</v>
      </c>
      <c r="C34" s="9">
        <v>-1374.61</v>
      </c>
      <c r="D34" s="9">
        <v>5422.63</v>
      </c>
    </row>
    <row r="35" spans="1:4" x14ac:dyDescent="0.25">
      <c r="A35" s="2" t="str">
        <f>"1.1.2.14.00- CONTAS TRANSITORIAS - GRUPO ATIVO"</f>
        <v>1.1.2.14.00- CONTAS TRANSITORIAS - GRUPO ATIVO</v>
      </c>
      <c r="B35" s="9">
        <v>-866900.42</v>
      </c>
      <c r="C35" s="9">
        <v>98442.97</v>
      </c>
      <c r="D35" s="9">
        <v>-768457.45</v>
      </c>
    </row>
    <row r="36" spans="1:4" x14ac:dyDescent="0.25">
      <c r="A36" s="2" t="str">
        <f>"1.1.2.14.02- Transitoria de Alteracao Patrimonial"</f>
        <v>1.1.2.14.02- Transitoria de Alteracao Patrimonial</v>
      </c>
      <c r="B36" s="9">
        <v>804</v>
      </c>
      <c r="C36" s="9">
        <v>-804</v>
      </c>
      <c r="D36" s="9">
        <v>0</v>
      </c>
    </row>
    <row r="37" spans="1:4" x14ac:dyDescent="0.25">
      <c r="A37" s="2" t="str">
        <f>"1.1.2.14.07- Transitoria de Imposto"</f>
        <v>1.1.2.14.07- Transitoria de Imposto</v>
      </c>
      <c r="B37" s="9">
        <v>-867704.42</v>
      </c>
      <c r="C37" s="9">
        <v>99246.97</v>
      </c>
      <c r="D37" s="9">
        <v>-768457.45</v>
      </c>
    </row>
    <row r="38" spans="1:4" x14ac:dyDescent="0.25">
      <c r="A38" s="2" t="str">
        <f>"1.2.0.00.00- ATIVO NAO CIRCULANTE"</f>
        <v>1.2.0.00.00- ATIVO NAO CIRCULANTE</v>
      </c>
      <c r="B38" s="9">
        <v>33888676.619999997</v>
      </c>
      <c r="C38" s="9">
        <v>50459.8</v>
      </c>
      <c r="D38" s="9">
        <v>33939136.420000002</v>
      </c>
    </row>
    <row r="39" spans="1:4" x14ac:dyDescent="0.25">
      <c r="A39" s="2" t="str">
        <f>"1.2.1.00.00- REALIZAVEL A LONGO PRAZO"</f>
        <v>1.2.1.00.00- REALIZAVEL A LONGO PRAZO</v>
      </c>
      <c r="B39" s="9">
        <v>32946304.100000001</v>
      </c>
      <c r="C39" s="9">
        <v>173025.13</v>
      </c>
      <c r="D39" s="9">
        <v>33119329.23</v>
      </c>
    </row>
    <row r="40" spans="1:4" x14ac:dyDescent="0.25">
      <c r="A40" s="2" t="str">
        <f>"1.2.1.01.00- CREDITOS E VALORES A RECEBER"</f>
        <v>1.2.1.01.00- CREDITOS E VALORES A RECEBER</v>
      </c>
      <c r="B40" s="9">
        <v>32946304.100000001</v>
      </c>
      <c r="C40" s="9">
        <v>173025.13</v>
      </c>
      <c r="D40" s="9">
        <v>33119329.23</v>
      </c>
    </row>
    <row r="41" spans="1:4" x14ac:dyDescent="0.25">
      <c r="A41" s="2" t="str">
        <f>"1.2.1.01.01- Depositos Judiciais"</f>
        <v>1.2.1.01.01- Depositos Judiciais</v>
      </c>
      <c r="B41" s="9">
        <v>908888.28</v>
      </c>
      <c r="C41" s="9">
        <v>173025.13</v>
      </c>
      <c r="D41" s="9">
        <v>1081913.4099999999</v>
      </c>
    </row>
    <row r="42" spans="1:4" x14ac:dyDescent="0.25">
      <c r="A42" s="2" t="str">
        <f>"1.2.1.01.06- Multas Transporte Coletivo"</f>
        <v>1.2.1.01.06- Multas Transporte Coletivo</v>
      </c>
      <c r="B42" s="9">
        <v>40046769.780000001</v>
      </c>
      <c r="C42" s="9">
        <v>0</v>
      </c>
      <c r="D42" s="9">
        <v>40046769.780000001</v>
      </c>
    </row>
    <row r="43" spans="1:4" x14ac:dyDescent="0.25">
      <c r="A43" s="2" t="str">
        <f>"1.2.1.01.07- (-) Provisao para Perdas"</f>
        <v>1.2.1.01.07- (-) Provisao para Perdas</v>
      </c>
      <c r="B43" s="9">
        <v>-8009353.96</v>
      </c>
      <c r="C43" s="9">
        <v>0</v>
      </c>
      <c r="D43" s="9">
        <v>-8009353.96</v>
      </c>
    </row>
    <row r="44" spans="1:4" x14ac:dyDescent="0.25">
      <c r="A44" s="2" t="str">
        <f>"1.3.1.00.00- INVESTIMENTOS"</f>
        <v>1.3.1.00.00- INVESTIMENTOS</v>
      </c>
      <c r="B44" s="9">
        <v>26061.01</v>
      </c>
      <c r="C44" s="9">
        <v>0</v>
      </c>
      <c r="D44" s="9">
        <v>26061.01</v>
      </c>
    </row>
    <row r="45" spans="1:4" x14ac:dyDescent="0.25">
      <c r="A45" s="2" t="str">
        <f>"1.3.1.01.00- OUTROS INVESTIMENTOS"</f>
        <v>1.3.1.01.00- OUTROS INVESTIMENTOS</v>
      </c>
      <c r="B45" s="9">
        <v>26061.01</v>
      </c>
      <c r="C45" s="9">
        <v>0</v>
      </c>
      <c r="D45" s="9">
        <v>26061.01</v>
      </c>
    </row>
    <row r="46" spans="1:4" x14ac:dyDescent="0.25">
      <c r="A46" s="2" t="str">
        <f>"1.3.1.01.01- Obras de Arte"</f>
        <v>1.3.1.01.01- Obras de Arte</v>
      </c>
      <c r="B46" s="9">
        <v>25200</v>
      </c>
      <c r="C46" s="9">
        <v>0</v>
      </c>
      <c r="D46" s="9">
        <v>25200</v>
      </c>
    </row>
    <row r="47" spans="1:4" x14ac:dyDescent="0.25">
      <c r="A47" s="2" t="str">
        <f>"1.3.1.01.02- Participações Societárias - PBH ATIVOS"</f>
        <v>1.3.1.01.02- Participações Societárias - PBH ATIVOS</v>
      </c>
      <c r="B47" s="9">
        <v>861.01</v>
      </c>
      <c r="C47" s="9">
        <v>0</v>
      </c>
      <c r="D47" s="9">
        <v>861.01</v>
      </c>
    </row>
    <row r="48" spans="1:4" x14ac:dyDescent="0.25">
      <c r="A48" s="2" t="str">
        <f>"1.3.2.00.00- IMOBILIZADO"</f>
        <v>1.3.2.00.00- IMOBILIZADO</v>
      </c>
      <c r="B48" s="9">
        <v>6837645.75</v>
      </c>
      <c r="C48" s="9">
        <v>-2452353.7400000002</v>
      </c>
      <c r="D48" s="9">
        <v>4385292.01</v>
      </c>
    </row>
    <row r="49" spans="1:4" x14ac:dyDescent="0.25">
      <c r="A49" s="2" t="str">
        <f>"1.3.2.01.01- Maquinas e equipamentos"</f>
        <v>1.3.2.01.01- Maquinas e equipamentos</v>
      </c>
      <c r="B49" s="9">
        <v>248917.09</v>
      </c>
      <c r="C49" s="9">
        <v>-115173.18</v>
      </c>
      <c r="D49" s="9">
        <v>133743.91</v>
      </c>
    </row>
    <row r="50" spans="1:4" x14ac:dyDescent="0.25">
      <c r="A50" s="2" t="str">
        <f>"1.3.2.02.01- Ferramentas"</f>
        <v>1.3.2.02.01- Ferramentas</v>
      </c>
      <c r="B50" s="9">
        <v>8159.81</v>
      </c>
      <c r="C50" s="9">
        <v>-4606.1499999999996</v>
      </c>
      <c r="D50" s="9">
        <v>3553.66</v>
      </c>
    </row>
    <row r="51" spans="1:4" x14ac:dyDescent="0.25">
      <c r="A51" s="2" t="str">
        <f>"1.3.2.03.01- Equipamentos de comunicacao"</f>
        <v>1.3.2.03.01- Equipamentos de comunicacao</v>
      </c>
      <c r="B51" s="9">
        <v>635776.65</v>
      </c>
      <c r="C51" s="9">
        <v>-620733.65</v>
      </c>
      <c r="D51" s="9">
        <v>15043</v>
      </c>
    </row>
    <row r="52" spans="1:4" x14ac:dyDescent="0.25">
      <c r="A52" s="2" t="str">
        <f>"1.3.2.04.01- Instalacoes"</f>
        <v>1.3.2.04.01- Instalacoes</v>
      </c>
      <c r="B52" s="9">
        <v>89886.56</v>
      </c>
      <c r="C52" s="9">
        <v>-45928.5</v>
      </c>
      <c r="D52" s="9">
        <v>43958.06</v>
      </c>
    </row>
    <row r="53" spans="1:4" x14ac:dyDescent="0.25">
      <c r="A53" s="2" t="str">
        <f>"1.3.2.06.01- Moveis e utensilios"</f>
        <v>1.3.2.06.01- Moveis e utensilios</v>
      </c>
      <c r="B53" s="9">
        <v>448610.61</v>
      </c>
      <c r="C53" s="9">
        <v>-125833.1</v>
      </c>
      <c r="D53" s="9">
        <v>322777.51</v>
      </c>
    </row>
    <row r="54" spans="1:4" x14ac:dyDescent="0.25">
      <c r="A54" s="2" t="str">
        <f>"1.3.2.08.01- Instalacoes administrativas"</f>
        <v>1.3.2.08.01- Instalacoes administrativas</v>
      </c>
      <c r="B54" s="9">
        <v>98491.4</v>
      </c>
      <c r="C54" s="9">
        <v>-41357.1</v>
      </c>
      <c r="D54" s="9">
        <v>57134.3</v>
      </c>
    </row>
    <row r="55" spans="1:4" x14ac:dyDescent="0.25">
      <c r="A55" s="2" t="str">
        <f>"1.3.2.09.01- Aparelhos/equipamentos diversos"</f>
        <v>1.3.2.09.01- Aparelhos/equipamentos diversos</v>
      </c>
      <c r="B55" s="9">
        <v>620025.93000000005</v>
      </c>
      <c r="C55" s="9">
        <v>-310218.25</v>
      </c>
      <c r="D55" s="9">
        <v>309807.68</v>
      </c>
    </row>
    <row r="56" spans="1:4" x14ac:dyDescent="0.25">
      <c r="A56" s="2" t="str">
        <f>"1.3.2.10.01- Equip. p/ processamento de dados"</f>
        <v>1.3.2.10.01- Equip. p/ processamento de dados</v>
      </c>
      <c r="B56" s="9">
        <v>1494365.77</v>
      </c>
      <c r="C56" s="9">
        <v>-711571.89</v>
      </c>
      <c r="D56" s="9">
        <v>782793.88</v>
      </c>
    </row>
    <row r="57" spans="1:4" x14ac:dyDescent="0.25">
      <c r="A57" s="2" t="str">
        <f>"1.3.2.12.01- Micros/impressoras e acessorios"</f>
        <v>1.3.2.12.01- Micros/impressoras e acessorios</v>
      </c>
      <c r="B57" s="9">
        <v>1421066.01</v>
      </c>
      <c r="C57" s="9">
        <v>-476931.92</v>
      </c>
      <c r="D57" s="9">
        <v>944134.09</v>
      </c>
    </row>
    <row r="58" spans="1:4" x14ac:dyDescent="0.25">
      <c r="A58" s="2" t="str">
        <f>"1.3.2.13.01- Imobilizacao em imoveis de terceiros"</f>
        <v>1.3.2.13.01- Imobilizacao em imoveis de terceiros</v>
      </c>
      <c r="B58" s="9">
        <v>609961.46</v>
      </c>
      <c r="C58" s="9">
        <v>0</v>
      </c>
      <c r="D58" s="9">
        <v>609961.46</v>
      </c>
    </row>
    <row r="59" spans="1:4" x14ac:dyDescent="0.25">
      <c r="A59" s="2" t="str">
        <f>"1.3.2.14.01- Estacao Diamante"</f>
        <v>1.3.2.14.01- Estacao Diamante</v>
      </c>
      <c r="B59" s="9">
        <v>1162384.46</v>
      </c>
      <c r="C59" s="9">
        <v>0</v>
      </c>
      <c r="D59" s="9">
        <v>1162384.46</v>
      </c>
    </row>
    <row r="60" spans="1:4" x14ac:dyDescent="0.25">
      <c r="A60" s="2" t="str">
        <f>"1.3.3.00.00- INTANGIVEL"</f>
        <v>1.3.3.00.00- INTANGIVEL</v>
      </c>
      <c r="B60" s="9">
        <v>37558</v>
      </c>
      <c r="C60" s="9">
        <v>0</v>
      </c>
      <c r="D60" s="9">
        <v>37558</v>
      </c>
    </row>
    <row r="61" spans="1:4" x14ac:dyDescent="0.25">
      <c r="A61" s="2" t="str">
        <f>"1.3.3.03.00- MARCAS E PATENTES"</f>
        <v>1.3.3.03.00- MARCAS E PATENTES</v>
      </c>
      <c r="B61" s="9">
        <v>808</v>
      </c>
      <c r="C61" s="9">
        <v>0</v>
      </c>
      <c r="D61" s="9">
        <v>808</v>
      </c>
    </row>
    <row r="62" spans="1:4" x14ac:dyDescent="0.25">
      <c r="A62" s="2" t="str">
        <f>"1.3.3.03.01- Marcas e Patentes"</f>
        <v>1.3.3.03.01- Marcas e Patentes</v>
      </c>
      <c r="B62" s="9">
        <v>808</v>
      </c>
      <c r="C62" s="9">
        <v>0</v>
      </c>
      <c r="D62" s="9">
        <v>808</v>
      </c>
    </row>
    <row r="63" spans="1:4" x14ac:dyDescent="0.25">
      <c r="A63" s="2" t="str">
        <f>"1.3.3.04.01- Programas e Sistemas"</f>
        <v>1.3.3.04.01- Programas e Sistemas</v>
      </c>
      <c r="B63" s="9">
        <v>36750</v>
      </c>
      <c r="C63" s="9">
        <v>0</v>
      </c>
      <c r="D63" s="9">
        <v>36750</v>
      </c>
    </row>
    <row r="64" spans="1:4" x14ac:dyDescent="0.25">
      <c r="A64" s="2" t="str">
        <f>"1.3.5.00.00- ( - )DEPRECIACAO E AMORTIZACAO"</f>
        <v>1.3.5.00.00- ( - )DEPRECIACAO E AMORTIZACAO</v>
      </c>
      <c r="B64" s="9">
        <v>-5958892.2400000002</v>
      </c>
      <c r="C64" s="9">
        <v>2329788.41</v>
      </c>
      <c r="D64" s="9">
        <v>-3629103.83</v>
      </c>
    </row>
    <row r="65" spans="1:4" x14ac:dyDescent="0.25">
      <c r="A65" s="2" t="str">
        <f>"1.3.5.01.00- ( - ) DEPRECIACAO E AMORTIZACAO"</f>
        <v>1.3.5.01.00- ( - ) DEPRECIACAO E AMORTIZACAO</v>
      </c>
      <c r="B65" s="9">
        <v>-5958892.2400000002</v>
      </c>
      <c r="C65" s="9">
        <v>2329788.41</v>
      </c>
      <c r="D65" s="9">
        <v>-3629103.83</v>
      </c>
    </row>
    <row r="66" spans="1:4" x14ac:dyDescent="0.25">
      <c r="A66" s="2" t="str">
        <f>"1.3.5.01.01- ( - ) Moveis e Utensilios"</f>
        <v>1.3.5.01.01- ( - ) Moveis e Utensilios</v>
      </c>
      <c r="B66" s="9">
        <v>-429809.75</v>
      </c>
      <c r="C66" s="9">
        <v>123147.7</v>
      </c>
      <c r="D66" s="9">
        <v>-306662.05</v>
      </c>
    </row>
    <row r="67" spans="1:4" x14ac:dyDescent="0.25">
      <c r="A67" s="2" t="str">
        <f>"1.3.5.01.02- ( - ) Aparelhos/Equipamentos Diversos"</f>
        <v>1.3.5.01.02- ( - ) Aparelhos/Equipamentos Diversos</v>
      </c>
      <c r="B67" s="9">
        <v>-583791.17000000004</v>
      </c>
      <c r="C67" s="9">
        <v>292179.81</v>
      </c>
      <c r="D67" s="9">
        <v>-291611.36</v>
      </c>
    </row>
    <row r="68" spans="1:4" x14ac:dyDescent="0.25">
      <c r="A68" s="2" t="str">
        <f>"1.3.5.01.03- ( - ) Instalacoes Administrativas"</f>
        <v>1.3.5.01.03- ( - ) Instalacoes Administrativas</v>
      </c>
      <c r="B68" s="9">
        <v>-98491.4</v>
      </c>
      <c r="C68" s="9">
        <v>41357.1</v>
      </c>
      <c r="D68" s="9">
        <v>-57134.3</v>
      </c>
    </row>
    <row r="69" spans="1:4" x14ac:dyDescent="0.25">
      <c r="A69" s="2" t="str">
        <f>"1.3.5.01.05- ( - ) Impressoras e Micros"</f>
        <v>1.3.5.01.05- ( - ) Impressoras e Micros</v>
      </c>
      <c r="B69" s="9">
        <v>-2321297.14</v>
      </c>
      <c r="C69" s="9">
        <v>1133502.79</v>
      </c>
      <c r="D69" s="9">
        <v>-1187794.3500000001</v>
      </c>
    </row>
    <row r="70" spans="1:4" x14ac:dyDescent="0.25">
      <c r="A70" s="2" t="str">
        <f>"1.3.5.01.06- ( - ) Maquinas e Equipamentos"</f>
        <v>1.3.5.01.06- ( - ) Maquinas e Equipamentos</v>
      </c>
      <c r="B70" s="9">
        <v>-221817.93</v>
      </c>
      <c r="C70" s="9">
        <v>107743.88</v>
      </c>
      <c r="D70" s="9">
        <v>-114074.05</v>
      </c>
    </row>
    <row r="71" spans="1:4" x14ac:dyDescent="0.25">
      <c r="A71" s="2" t="str">
        <f>"1.3.5.01.07- ( - ) Equipamentos de Comunicacao"</f>
        <v>1.3.5.01.07- ( - ) Equipamentos de Comunicacao</v>
      </c>
      <c r="B71" s="9">
        <v>-600465.76</v>
      </c>
      <c r="C71" s="9">
        <v>585422.76</v>
      </c>
      <c r="D71" s="9">
        <v>-15043</v>
      </c>
    </row>
    <row r="72" spans="1:4" x14ac:dyDescent="0.25">
      <c r="A72" s="2" t="str">
        <f>"1.3.5.01.08- ( - ) Instalacoes Operacionais"</f>
        <v>1.3.5.01.08- ( - ) Instalacoes Operacionais</v>
      </c>
      <c r="B72" s="9">
        <v>-86917.28</v>
      </c>
      <c r="C72" s="9">
        <v>43756.52</v>
      </c>
      <c r="D72" s="9">
        <v>-43160.76</v>
      </c>
    </row>
    <row r="73" spans="1:4" x14ac:dyDescent="0.25">
      <c r="A73" s="2" t="str">
        <f>"1.3.5.01.09- ( - ) Programas (Softwares)"</f>
        <v>1.3.5.01.09- ( - ) Programas (Softwares)</v>
      </c>
      <c r="B73" s="9">
        <v>-36750</v>
      </c>
      <c r="C73" s="9">
        <v>0</v>
      </c>
      <c r="D73" s="9">
        <v>-36750</v>
      </c>
    </row>
    <row r="74" spans="1:4" x14ac:dyDescent="0.25">
      <c r="A74" s="2" t="str">
        <f>"1.3.5.01.14- ( - ) Ferramentas"</f>
        <v>1.3.5.01.14- ( - ) Ferramentas</v>
      </c>
      <c r="B74" s="9">
        <v>-8159.81</v>
      </c>
      <c r="C74" s="9">
        <v>4606.1499999999996</v>
      </c>
      <c r="D74" s="9">
        <v>-3553.66</v>
      </c>
    </row>
    <row r="75" spans="1:4" x14ac:dyDescent="0.25">
      <c r="A75" s="2" t="str">
        <f>"1.3.5.01.15- ( - ) Imobilizacoes em Imov. Terceiros"</f>
        <v>1.3.5.01.15- ( - ) Imobilizacoes em Imov. Terceiros</v>
      </c>
      <c r="B75" s="9">
        <v>-1571392</v>
      </c>
      <c r="C75" s="9">
        <v>-1928.3</v>
      </c>
      <c r="D75" s="9">
        <v>-1573320.3</v>
      </c>
    </row>
    <row r="76" spans="1:4" x14ac:dyDescent="0.25">
      <c r="A76" s="2" t="str">
        <f>""</f>
        <v/>
      </c>
      <c r="B76" s="3" t="str">
        <f>""</f>
        <v/>
      </c>
      <c r="C76" s="3" t="str">
        <f>""</f>
        <v/>
      </c>
      <c r="D76" s="3" t="str">
        <f>""</f>
        <v/>
      </c>
    </row>
    <row r="77" spans="1:4" x14ac:dyDescent="0.25">
      <c r="A77" s="2" t="str">
        <f>"PASSIVO"</f>
        <v>PASSIVO</v>
      </c>
      <c r="B77" s="3" t="str">
        <f>""</f>
        <v/>
      </c>
      <c r="C77" s="3" t="str">
        <f>""</f>
        <v/>
      </c>
      <c r="D77" s="3" t="str">
        <f>""</f>
        <v/>
      </c>
    </row>
    <row r="78" spans="1:4" x14ac:dyDescent="0.25">
      <c r="A78" s="2" t="str">
        <f>"2.0.0.00.00- PASSIVO"</f>
        <v>2.0.0.00.00- PASSIVO</v>
      </c>
      <c r="B78" s="9">
        <v>67431693.430000007</v>
      </c>
      <c r="C78" s="9">
        <v>-5402715.7699999996</v>
      </c>
      <c r="D78" s="9">
        <v>62028977.659999996</v>
      </c>
    </row>
    <row r="79" spans="1:4" x14ac:dyDescent="0.25">
      <c r="A79" s="2" t="str">
        <f>"2.1.0.00.00- PASSIVO CIRCULANTE"</f>
        <v>2.1.0.00.00- PASSIVO CIRCULANTE</v>
      </c>
      <c r="B79" s="9">
        <v>45132448.25</v>
      </c>
      <c r="C79" s="9">
        <v>3798319.51</v>
      </c>
      <c r="D79" s="9">
        <v>48930767.759999998</v>
      </c>
    </row>
    <row r="80" spans="1:4" x14ac:dyDescent="0.25">
      <c r="A80" s="2" t="str">
        <f>"2.1.1.00.00- OBRIGACOES COM PESSOAL"</f>
        <v>2.1.1.00.00- OBRIGACOES COM PESSOAL</v>
      </c>
      <c r="B80" s="9">
        <v>24794352.100000001</v>
      </c>
      <c r="C80" s="9">
        <v>1035605.38</v>
      </c>
      <c r="D80" s="9">
        <v>25829957.48</v>
      </c>
    </row>
    <row r="81" spans="1:4" x14ac:dyDescent="0.25">
      <c r="A81" s="2" t="str">
        <f>"2.1.1.01.00- SALARIOS A PAGAR"</f>
        <v>2.1.1.01.00- SALARIOS A PAGAR</v>
      </c>
      <c r="B81" s="9">
        <v>24794352.100000001</v>
      </c>
      <c r="C81" s="9">
        <v>1035605.38</v>
      </c>
      <c r="D81" s="9">
        <v>25829957.48</v>
      </c>
    </row>
    <row r="82" spans="1:4" x14ac:dyDescent="0.25">
      <c r="A82" s="2" t="str">
        <f>"2.1.1.01.01- Salarios a Pagar"</f>
        <v>2.1.1.01.01- Salarios a Pagar</v>
      </c>
      <c r="B82" s="9">
        <v>7682967.2699999996</v>
      </c>
      <c r="C82" s="9">
        <v>-901564.61</v>
      </c>
      <c r="D82" s="9">
        <v>6781402.6600000001</v>
      </c>
    </row>
    <row r="83" spans="1:4" x14ac:dyDescent="0.25">
      <c r="A83" s="2" t="str">
        <f>"2.1.1.01.02- Provisão 13º Salário"</f>
        <v>2.1.1.01.02- Provisão 13º Salário</v>
      </c>
      <c r="B83" s="9">
        <v>3394920.61</v>
      </c>
      <c r="C83" s="9">
        <v>989875.88</v>
      </c>
      <c r="D83" s="9">
        <v>4384796.49</v>
      </c>
    </row>
    <row r="84" spans="1:4" x14ac:dyDescent="0.25">
      <c r="A84" s="2" t="str">
        <f>"2.1.1.01.03- Ferias a pagar"</f>
        <v>2.1.1.01.03- Ferias a pagar</v>
      </c>
      <c r="B84" s="9">
        <v>222571.79</v>
      </c>
      <c r="C84" s="9">
        <v>146836.22</v>
      </c>
      <c r="D84" s="9">
        <v>369408.01</v>
      </c>
    </row>
    <row r="85" spans="1:4" x14ac:dyDescent="0.25">
      <c r="A85" s="2" t="str">
        <f>"2.1.1.01.05- Rescisoes a Pagar"</f>
        <v>2.1.1.01.05- Rescisoes a Pagar</v>
      </c>
      <c r="B85" s="9">
        <v>929.19</v>
      </c>
      <c r="C85" s="9">
        <v>353.59</v>
      </c>
      <c r="D85" s="9">
        <v>1282.78</v>
      </c>
    </row>
    <row r="86" spans="1:4" x14ac:dyDescent="0.25">
      <c r="A86" s="2" t="str">
        <f>"2.1.1.01.09- Provisao de Ferias"</f>
        <v>2.1.1.01.09- Provisao de Ferias</v>
      </c>
      <c r="B86" s="9">
        <v>13379586.960000001</v>
      </c>
      <c r="C86" s="9">
        <v>808249.29</v>
      </c>
      <c r="D86" s="9">
        <v>14187836.25</v>
      </c>
    </row>
    <row r="87" spans="1:4" x14ac:dyDescent="0.25">
      <c r="A87" s="2" t="str">
        <f>"2.1.1.01.12- Pensão Judicial"</f>
        <v>2.1.1.01.12- Pensão Judicial</v>
      </c>
      <c r="B87" s="9">
        <v>113376.28</v>
      </c>
      <c r="C87" s="9">
        <v>-8144.99</v>
      </c>
      <c r="D87" s="9">
        <v>105231.29</v>
      </c>
    </row>
    <row r="88" spans="1:4" x14ac:dyDescent="0.25">
      <c r="A88" s="2" t="str">
        <f>"2.1.2.00.00- OBRIGACOES SOCIAIS A CURTO PRAZO"</f>
        <v>2.1.2.00.00- OBRIGACOES SOCIAIS A CURTO PRAZO</v>
      </c>
      <c r="B88" s="9">
        <v>11636015.039999999</v>
      </c>
      <c r="C88" s="9">
        <v>529193.36</v>
      </c>
      <c r="D88" s="9">
        <v>12165208.4</v>
      </c>
    </row>
    <row r="89" spans="1:4" x14ac:dyDescent="0.25">
      <c r="A89" s="2" t="str">
        <f>"2.1.2.01.00- OBRIGACOES SOCIAIS A RECOLHER"</f>
        <v>2.1.2.01.00- OBRIGACOES SOCIAIS A RECOLHER</v>
      </c>
      <c r="B89" s="9">
        <v>11636015.039999999</v>
      </c>
      <c r="C89" s="9">
        <v>529193.36</v>
      </c>
      <c r="D89" s="9">
        <v>12165208.4</v>
      </c>
    </row>
    <row r="90" spans="1:4" x14ac:dyDescent="0.25">
      <c r="A90" s="2" t="str">
        <f>"2.1.2.01.01- INSS a recolher s/Folha Pagto"</f>
        <v>2.1.2.01.01- INSS a recolher s/Folha Pagto</v>
      </c>
      <c r="B90" s="9">
        <v>4034682.64</v>
      </c>
      <c r="C90" s="9">
        <v>-176723.29</v>
      </c>
      <c r="D90" s="9">
        <v>3857959.35</v>
      </c>
    </row>
    <row r="91" spans="1:4" x14ac:dyDescent="0.25">
      <c r="A91" s="2" t="str">
        <f>"2.1.2.01.02- FGTS a recolher s/Folha Pagto"</f>
        <v>2.1.2.01.02- FGTS a recolher s/Folha Pagto</v>
      </c>
      <c r="B91" s="9">
        <v>933132.56</v>
      </c>
      <c r="C91" s="9">
        <v>-52897.27</v>
      </c>
      <c r="D91" s="9">
        <v>880235.29</v>
      </c>
    </row>
    <row r="92" spans="1:4" x14ac:dyDescent="0.25">
      <c r="A92" s="2" t="str">
        <f>"2.1.2.01.05- Contribuicao Sindical"</f>
        <v>2.1.2.01.05- Contribuicao Sindical</v>
      </c>
      <c r="B92" s="9">
        <v>10089.74</v>
      </c>
      <c r="C92" s="9">
        <v>20970.84</v>
      </c>
      <c r="D92" s="9">
        <v>31060.58</v>
      </c>
    </row>
    <row r="93" spans="1:4" x14ac:dyDescent="0.25">
      <c r="A93" s="2" t="str">
        <f>"2.1.2.01.06- INSS s/Provisao de Ferias"</f>
        <v>2.1.2.01.06- INSS s/Provisao de Ferias</v>
      </c>
      <c r="B93" s="9">
        <v>3917074.51</v>
      </c>
      <c r="C93" s="9">
        <v>234809.51</v>
      </c>
      <c r="D93" s="9">
        <v>4151884.02</v>
      </c>
    </row>
    <row r="94" spans="1:4" x14ac:dyDescent="0.25">
      <c r="A94" s="2" t="str">
        <f>"2.1.2.01.09- INSS a Recolher s/Autonomos"</f>
        <v>2.1.2.01.09- INSS a Recolher s/Autonomos</v>
      </c>
      <c r="B94" s="9">
        <v>5132.32</v>
      </c>
      <c r="C94" s="9">
        <v>-311.91000000000003</v>
      </c>
      <c r="D94" s="9">
        <v>4820.41</v>
      </c>
    </row>
    <row r="95" spans="1:4" x14ac:dyDescent="0.25">
      <c r="A95" s="2" t="str">
        <f>"2.1.2.01.10- INSS s/Provisao de 13.Salario"</f>
        <v>2.1.2.01.10- INSS s/Provisao de 13.Salario</v>
      </c>
      <c r="B95" s="9">
        <v>994671.82</v>
      </c>
      <c r="C95" s="9">
        <v>289813.5</v>
      </c>
      <c r="D95" s="9">
        <v>1284485.32</v>
      </c>
    </row>
    <row r="96" spans="1:4" x14ac:dyDescent="0.25">
      <c r="A96" s="2" t="str">
        <f>"2.1.2.01.11- FGTS s/Provisao de 13.Salario"</f>
        <v>2.1.2.01.11- FGTS s/Provisao de 13.Salario</v>
      </c>
      <c r="B96" s="9">
        <v>157002.66</v>
      </c>
      <c r="C96" s="9">
        <v>48756.77</v>
      </c>
      <c r="D96" s="9">
        <v>205759.43</v>
      </c>
    </row>
    <row r="97" spans="1:4" x14ac:dyDescent="0.25">
      <c r="A97" s="2" t="str">
        <f>"2.1.2.01.12- FGTS s/Provisao de Ferias"</f>
        <v>2.1.2.01.12- FGTS s/Provisao de Ferias</v>
      </c>
      <c r="B97" s="9">
        <v>1070363.23</v>
      </c>
      <c r="C97" s="9">
        <v>64659.73</v>
      </c>
      <c r="D97" s="9">
        <v>1135022.96</v>
      </c>
    </row>
    <row r="98" spans="1:4" x14ac:dyDescent="0.25">
      <c r="A98" s="2" t="str">
        <f>"2.1.2.01.15- Crediserv-BH"</f>
        <v>2.1.2.01.15- Crediserv-BH</v>
      </c>
      <c r="B98" s="9">
        <v>26848.37</v>
      </c>
      <c r="C98" s="9">
        <v>385.8</v>
      </c>
      <c r="D98" s="9">
        <v>27234.17</v>
      </c>
    </row>
    <row r="99" spans="1:4" x14ac:dyDescent="0.25">
      <c r="A99" s="2" t="str">
        <f>"2.1.2.01.16- INSS Fonte a Recolher - PJ"</f>
        <v>2.1.2.01.16- INSS Fonte a Recolher - PJ</v>
      </c>
      <c r="B99" s="9">
        <v>485056.35</v>
      </c>
      <c r="C99" s="9">
        <v>99854.080000000002</v>
      </c>
      <c r="D99" s="9">
        <v>584910.43000000005</v>
      </c>
    </row>
    <row r="100" spans="1:4" x14ac:dyDescent="0.25">
      <c r="A100" s="2" t="str">
        <f>"2.1.2.01.18- INSS Fonte a Recolher - P F"</f>
        <v>2.1.2.01.18- INSS Fonte a Recolher - P F</v>
      </c>
      <c r="B100" s="9">
        <v>1960.84</v>
      </c>
      <c r="C100" s="9">
        <v>-124.4</v>
      </c>
      <c r="D100" s="9">
        <v>1836.44</v>
      </c>
    </row>
    <row r="101" spans="1:4" x14ac:dyDescent="0.25">
      <c r="A101" s="2" t="str">
        <f>"2.1.3.00.00- OBRIGACOES FISCAIS A CURTO PRAZO"</f>
        <v>2.1.3.00.00- OBRIGACOES FISCAIS A CURTO PRAZO</v>
      </c>
      <c r="B101" s="9">
        <v>2619031.1800000002</v>
      </c>
      <c r="C101" s="9">
        <v>378858.78</v>
      </c>
      <c r="D101" s="9">
        <v>2997889.96</v>
      </c>
    </row>
    <row r="102" spans="1:4" x14ac:dyDescent="0.25">
      <c r="A102" s="2" t="str">
        <f>"2.1.3.01.00- IMPOSTOS E TAXAS A RECOLHER"</f>
        <v>2.1.3.01.00- IMPOSTOS E TAXAS A RECOLHER</v>
      </c>
      <c r="B102" s="9">
        <v>2619031.1800000002</v>
      </c>
      <c r="C102" s="9">
        <v>378858.78</v>
      </c>
      <c r="D102" s="9">
        <v>2997889.96</v>
      </c>
    </row>
    <row r="103" spans="1:4" x14ac:dyDescent="0.25">
      <c r="A103" s="2" t="str">
        <f>"2.1.3.01.01- IRRF Fonte Folha Pagto"</f>
        <v>2.1.3.01.01- IRRF Fonte Folha Pagto</v>
      </c>
      <c r="B103" s="9">
        <v>1731013.27</v>
      </c>
      <c r="C103" s="9">
        <v>284063.55</v>
      </c>
      <c r="D103" s="9">
        <v>2015076.82</v>
      </c>
    </row>
    <row r="104" spans="1:4" x14ac:dyDescent="0.25">
      <c r="A104" s="2" t="str">
        <f>"2.1.3.01.03- IRRF Fonte - Pessoa  Juridica e Física"</f>
        <v>2.1.3.01.03- IRRF Fonte - Pessoa  Juridica e Física</v>
      </c>
      <c r="B104" s="9">
        <v>60090.26</v>
      </c>
      <c r="C104" s="9">
        <v>4549.1000000000004</v>
      </c>
      <c r="D104" s="9">
        <v>64639.360000000001</v>
      </c>
    </row>
    <row r="105" spans="1:4" x14ac:dyDescent="0.25">
      <c r="A105" s="2" t="str">
        <f>"2.1.3.01.09- ISS Fonte a Recolher P.Juridica"</f>
        <v>2.1.3.01.09- ISS Fonte a Recolher P.Juridica</v>
      </c>
      <c r="B105" s="9">
        <v>404551.41</v>
      </c>
      <c r="C105" s="9">
        <v>74091.53</v>
      </c>
      <c r="D105" s="9">
        <v>478642.94</v>
      </c>
    </row>
    <row r="106" spans="1:4" x14ac:dyDescent="0.25">
      <c r="A106" s="2" t="str">
        <f>"2.1.3.01.12- CSLL-COFINS-PIS - FONTE"</f>
        <v>2.1.3.01.12- CSLL-COFINS-PIS - FONTE</v>
      </c>
      <c r="B106" s="9">
        <v>423376.24</v>
      </c>
      <c r="C106" s="9">
        <v>16154.6</v>
      </c>
      <c r="D106" s="9">
        <v>439530.84</v>
      </c>
    </row>
    <row r="107" spans="1:4" x14ac:dyDescent="0.25">
      <c r="A107" s="2" t="str">
        <f>"2.1.4.00.00- OUTRAS OBRIGACOES A CURTO PRAZO"</f>
        <v>2.1.4.00.00- OUTRAS OBRIGACOES A CURTO PRAZO</v>
      </c>
      <c r="B107" s="9">
        <v>6083049.9299999997</v>
      </c>
      <c r="C107" s="9">
        <v>1854661.99</v>
      </c>
      <c r="D107" s="9">
        <v>7937711.9199999999</v>
      </c>
    </row>
    <row r="108" spans="1:4" x14ac:dyDescent="0.25">
      <c r="A108" s="2" t="str">
        <f>"2.1.4.01.00- FORNECEDORES"</f>
        <v>2.1.4.01.00- FORNECEDORES</v>
      </c>
      <c r="B108" s="9">
        <v>4739360.72</v>
      </c>
      <c r="C108" s="9">
        <v>1839887.76</v>
      </c>
      <c r="D108" s="9">
        <v>6579248.4800000004</v>
      </c>
    </row>
    <row r="109" spans="1:4" x14ac:dyDescent="0.25">
      <c r="A109" s="2" t="str">
        <f>"2.1.4.01.99- Fornecedores"</f>
        <v>2.1.4.01.99- Fornecedores</v>
      </c>
      <c r="B109" s="9">
        <v>4739360.72</v>
      </c>
      <c r="C109" s="9">
        <v>1839887.76</v>
      </c>
      <c r="D109" s="9">
        <v>6579248.4800000004</v>
      </c>
    </row>
    <row r="110" spans="1:4" x14ac:dyDescent="0.25">
      <c r="A110" s="2" t="str">
        <f>"2.1.4.02.00- CONTAS A PAGAR"</f>
        <v>2.1.4.02.00- CONTAS A PAGAR</v>
      </c>
      <c r="B110" s="9">
        <v>425773.29</v>
      </c>
      <c r="C110" s="9">
        <v>14774.23</v>
      </c>
      <c r="D110" s="9">
        <v>440547.52</v>
      </c>
    </row>
    <row r="111" spans="1:4" x14ac:dyDescent="0.25">
      <c r="A111" s="2" t="str">
        <f>"2.1.4.02.01- Emprestimo Consignado - Bradesco"</f>
        <v>2.1.4.02.01- Emprestimo Consignado - Bradesco</v>
      </c>
      <c r="B111" s="9">
        <v>270686.33</v>
      </c>
      <c r="C111" s="9">
        <v>1845.26</v>
      </c>
      <c r="D111" s="9">
        <v>272531.59000000003</v>
      </c>
    </row>
    <row r="112" spans="1:4" x14ac:dyDescent="0.25">
      <c r="A112" s="2" t="str">
        <f>"2.1.4.02.03- Emprestimo Consignado - CEF"</f>
        <v>2.1.4.02.03- Emprestimo Consignado - CEF</v>
      </c>
      <c r="B112" s="9">
        <v>894.7</v>
      </c>
      <c r="C112" s="9">
        <v>447.35</v>
      </c>
      <c r="D112" s="9">
        <v>1342.05</v>
      </c>
    </row>
    <row r="113" spans="1:4" x14ac:dyDescent="0.25">
      <c r="A113" s="2" t="str">
        <f>"2.1.4.02.05- Emprestimo Consignado-Banco Alfa"</f>
        <v>2.1.4.02.05- Emprestimo Consignado-Banco Alfa</v>
      </c>
      <c r="B113" s="9">
        <v>6987.38</v>
      </c>
      <c r="C113" s="9">
        <v>0</v>
      </c>
      <c r="D113" s="9">
        <v>6987.38</v>
      </c>
    </row>
    <row r="114" spans="1:4" x14ac:dyDescent="0.25">
      <c r="A114" s="2" t="str">
        <f>"2.1.4.02.14- Emprestimo Consignado Trabalhador"</f>
        <v>2.1.4.02.14- Emprestimo Consignado Trabalhador</v>
      </c>
      <c r="B114" s="9">
        <v>115101.88</v>
      </c>
      <c r="C114" s="9">
        <v>14325.37</v>
      </c>
      <c r="D114" s="9">
        <v>129427.25</v>
      </c>
    </row>
    <row r="115" spans="1:4" x14ac:dyDescent="0.25">
      <c r="A115" s="2" t="str">
        <f>"2.1.4.02.99- Contas a Pagar"</f>
        <v>2.1.4.02.99- Contas a Pagar</v>
      </c>
      <c r="B115" s="9">
        <v>32103</v>
      </c>
      <c r="C115" s="9">
        <v>-1843.75</v>
      </c>
      <c r="D115" s="9">
        <v>30259.25</v>
      </c>
    </row>
    <row r="116" spans="1:4" x14ac:dyDescent="0.25">
      <c r="A116" s="2" t="str">
        <f>"2.1.4.04.00- CAUCAO DE TERCEIROS/LEILAO"</f>
        <v>2.1.4.04.00- CAUCAO DE TERCEIROS/LEILAO</v>
      </c>
      <c r="B116" s="9">
        <v>917915.92</v>
      </c>
      <c r="C116" s="9">
        <v>0</v>
      </c>
      <c r="D116" s="9">
        <v>917915.92</v>
      </c>
    </row>
    <row r="117" spans="1:4" x14ac:dyDescent="0.25">
      <c r="A117" s="2" t="str">
        <f>"2.1.4.04.98- Leilões"</f>
        <v>2.1.4.04.98- Leilões</v>
      </c>
      <c r="B117" s="9">
        <v>857604.91</v>
      </c>
      <c r="C117" s="9">
        <v>0</v>
      </c>
      <c r="D117" s="9">
        <v>857604.91</v>
      </c>
    </row>
    <row r="118" spans="1:4" x14ac:dyDescent="0.25">
      <c r="A118" s="2" t="str">
        <f>"2.1.4.04.99- Caucao de Terceiros"</f>
        <v>2.1.4.04.99- Caucao de Terceiros</v>
      </c>
      <c r="B118" s="9">
        <v>60311.01</v>
      </c>
      <c r="C118" s="9">
        <v>0</v>
      </c>
      <c r="D118" s="9">
        <v>60311.01</v>
      </c>
    </row>
    <row r="119" spans="1:4" x14ac:dyDescent="0.25">
      <c r="A119" s="2" t="str">
        <f>"2.2.0.00.00- PASSIVO NAO CIRCULANTE"</f>
        <v>2.2.0.00.00- PASSIVO NAO CIRCULANTE</v>
      </c>
      <c r="B119" s="9">
        <v>166653616.31999999</v>
      </c>
      <c r="C119" s="9">
        <v>-22151.74</v>
      </c>
      <c r="D119" s="9">
        <v>166631464.58000001</v>
      </c>
    </row>
    <row r="120" spans="1:4" x14ac:dyDescent="0.25">
      <c r="A120" s="2" t="str">
        <f>"2.2.4.00.00- OUTRAS OBRIGACOES A LONGO PRAZO"</f>
        <v>2.2.4.00.00- OUTRAS OBRIGACOES A LONGO PRAZO</v>
      </c>
      <c r="B120" s="9">
        <v>166653616.31999999</v>
      </c>
      <c r="C120" s="9">
        <v>-22151.74</v>
      </c>
      <c r="D120" s="9">
        <v>166631464.58000001</v>
      </c>
    </row>
    <row r="121" spans="1:4" x14ac:dyDescent="0.25">
      <c r="A121" s="2" t="str">
        <f>"2.2.4.01.00- CREDORES DIVERSOS"</f>
        <v>2.2.4.01.00- CREDORES DIVERSOS</v>
      </c>
      <c r="B121" s="9">
        <v>13236311.74</v>
      </c>
      <c r="C121" s="9">
        <v>0</v>
      </c>
      <c r="D121" s="9">
        <v>13236311.74</v>
      </c>
    </row>
    <row r="122" spans="1:4" x14ac:dyDescent="0.25">
      <c r="A122" s="2" t="str">
        <f>"2.2.4.01.04- Provisão para Contingências Fiscais"</f>
        <v>2.2.4.01.04- Provisão para Contingências Fiscais</v>
      </c>
      <c r="B122" s="9">
        <v>12294456.800000001</v>
      </c>
      <c r="C122" s="9">
        <v>0</v>
      </c>
      <c r="D122" s="9">
        <v>12294456.800000001</v>
      </c>
    </row>
    <row r="123" spans="1:4" x14ac:dyDescent="0.25">
      <c r="A123" s="2" t="str">
        <f>"2.2.4.01.05- INSS Segurados"</f>
        <v>2.2.4.01.05- INSS Segurados</v>
      </c>
      <c r="B123" s="9">
        <v>941854.94</v>
      </c>
      <c r="C123" s="9">
        <v>0</v>
      </c>
      <c r="D123" s="9">
        <v>941854.94</v>
      </c>
    </row>
    <row r="124" spans="1:4" x14ac:dyDescent="0.25">
      <c r="A124" s="2" t="str">
        <f>"2.2.4.04.00- ACOES JUDICIAIS E TRABALHISTAS"</f>
        <v>2.2.4.04.00- ACOES JUDICIAIS E TRABALHISTAS</v>
      </c>
      <c r="B124" s="9">
        <v>153417304.58000001</v>
      </c>
      <c r="C124" s="9">
        <v>-22151.74</v>
      </c>
      <c r="D124" s="9">
        <v>153395152.84</v>
      </c>
    </row>
    <row r="125" spans="1:4" x14ac:dyDescent="0.25">
      <c r="A125" s="2" t="str">
        <f>"2.2.4.04.01- Acoes judiciais"</f>
        <v>2.2.4.04.01- Acoes judiciais</v>
      </c>
      <c r="B125" s="9">
        <v>52228746.659999996</v>
      </c>
      <c r="C125" s="9">
        <v>0</v>
      </c>
      <c r="D125" s="9">
        <v>52228746.659999996</v>
      </c>
    </row>
    <row r="126" spans="1:4" x14ac:dyDescent="0.25">
      <c r="A126" s="2" t="str">
        <f>"2.2.4.04.02- Acoes trabalhistas"</f>
        <v>2.2.4.04.02- Acoes trabalhistas</v>
      </c>
      <c r="B126" s="9">
        <v>101188557.92</v>
      </c>
      <c r="C126" s="9">
        <v>-22151.74</v>
      </c>
      <c r="D126" s="9">
        <v>101166406.18000001</v>
      </c>
    </row>
    <row r="127" spans="1:4" x14ac:dyDescent="0.25">
      <c r="A127" s="2" t="str">
        <f>"2.4.0.00.00- PATRIMONIO LIQUIDO"</f>
        <v>2.4.0.00.00- PATRIMONIO LIQUIDO</v>
      </c>
      <c r="B127" s="9">
        <v>-144354371.13999999</v>
      </c>
      <c r="C127" s="9">
        <v>-9178883.5399999991</v>
      </c>
      <c r="D127" s="9">
        <v>-153533254.68000001</v>
      </c>
    </row>
    <row r="128" spans="1:4" x14ac:dyDescent="0.25">
      <c r="A128" s="2" t="str">
        <f>"2.4.1.00.00- CAPITAL SOCIAL"</f>
        <v>2.4.1.00.00- CAPITAL SOCIAL</v>
      </c>
      <c r="B128" s="9">
        <v>67418193.159999996</v>
      </c>
      <c r="C128" s="9">
        <v>0</v>
      </c>
      <c r="D128" s="9">
        <v>67418193.159999996</v>
      </c>
    </row>
    <row r="129" spans="1:4" x14ac:dyDescent="0.25">
      <c r="A129" s="2" t="str">
        <f>"2.4.1.02.00- CAPITAL REALIZADO"</f>
        <v>2.4.1.02.00- CAPITAL REALIZADO</v>
      </c>
      <c r="B129" s="9">
        <v>67418193.159999996</v>
      </c>
      <c r="C129" s="9">
        <v>0</v>
      </c>
      <c r="D129" s="9">
        <v>67418193.159999996</v>
      </c>
    </row>
    <row r="130" spans="1:4" x14ac:dyDescent="0.25">
      <c r="A130" s="2" t="str">
        <f>"2.4.1.02.01- Capital Subscrito"</f>
        <v>2.4.1.02.01- Capital Subscrito</v>
      </c>
      <c r="B130" s="9">
        <v>75000000</v>
      </c>
      <c r="C130" s="9">
        <v>0</v>
      </c>
      <c r="D130" s="9">
        <v>75000000</v>
      </c>
    </row>
    <row r="131" spans="1:4" x14ac:dyDescent="0.25">
      <c r="A131" s="2" t="str">
        <f>"2.4.1.02.04- Capital a Realizar"</f>
        <v>2.4.1.02.04- Capital a Realizar</v>
      </c>
      <c r="B131" s="9">
        <v>-7581806.8399999999</v>
      </c>
      <c r="C131" s="9">
        <v>0</v>
      </c>
      <c r="D131" s="9">
        <v>-7581806.8399999999</v>
      </c>
    </row>
    <row r="132" spans="1:4" x14ac:dyDescent="0.25">
      <c r="A132" s="2" t="str">
        <f>"2.4.3.00.00- RESULTADOS ACUMULADOS"</f>
        <v>2.4.3.00.00- RESULTADOS ACUMULADOS</v>
      </c>
      <c r="B132" s="9">
        <v>-211772564.30000001</v>
      </c>
      <c r="C132" s="9">
        <v>-9178883.5399999991</v>
      </c>
      <c r="D132" s="9">
        <v>-220951447.84</v>
      </c>
    </row>
    <row r="133" spans="1:4" x14ac:dyDescent="0.25">
      <c r="A133" s="2" t="str">
        <f>"2.4.3.01.00- LUCROS/PREJUIZOS ACUMULADOS"</f>
        <v>2.4.3.01.00- LUCROS/PREJUIZOS ACUMULADOS</v>
      </c>
      <c r="B133" s="9">
        <v>-211772564.30000001</v>
      </c>
      <c r="C133" s="9">
        <v>-9178883.5399999991</v>
      </c>
      <c r="D133" s="9">
        <v>-220951447.84</v>
      </c>
    </row>
    <row r="134" spans="1:4" x14ac:dyDescent="0.25">
      <c r="A134" s="2" t="str">
        <f>"2.4.3.01.01- Resultados de Exerc. Anteriores"</f>
        <v>2.4.3.01.01- Resultados de Exerc. Anteriores</v>
      </c>
      <c r="B134" s="9">
        <v>-210728141.31</v>
      </c>
      <c r="C134" s="9">
        <v>0</v>
      </c>
      <c r="D134" s="9">
        <v>-210728141.31</v>
      </c>
    </row>
    <row r="135" spans="1:4" x14ac:dyDescent="0.25">
      <c r="A135" s="2" t="str">
        <f>"2.4.3.01.02- Resultado deste Exercicio"</f>
        <v>2.4.3.01.02- Resultado deste Exercicio</v>
      </c>
      <c r="B135" s="9">
        <v>-1044422.99</v>
      </c>
      <c r="C135" s="9">
        <v>-9178883.5399999991</v>
      </c>
      <c r="D135" s="9">
        <v>-10223306.529999999</v>
      </c>
    </row>
    <row r="136" spans="1:4" x14ac:dyDescent="0.25">
      <c r="A136" s="2" t="str">
        <f>""</f>
        <v/>
      </c>
      <c r="B136" s="3" t="str">
        <f>""</f>
        <v/>
      </c>
      <c r="C136" s="3" t="str">
        <f>""</f>
        <v/>
      </c>
      <c r="D136" s="3" t="str">
        <f>""</f>
        <v/>
      </c>
    </row>
    <row r="137" spans="1:4" x14ac:dyDescent="0.25">
      <c r="A137" s="2" t="str">
        <f>"DESPESAS"</f>
        <v>DESPESAS</v>
      </c>
      <c r="B137" s="3" t="str">
        <f>""</f>
        <v/>
      </c>
      <c r="C137" s="3" t="str">
        <f>""</f>
        <v/>
      </c>
      <c r="D137" s="3" t="str">
        <f>""</f>
        <v/>
      </c>
    </row>
    <row r="138" spans="1:4" x14ac:dyDescent="0.25">
      <c r="A138" s="2" t="str">
        <f>"3.0.0.00.00- DESPESAS"</f>
        <v>3.0.0.00.00- DESPESAS</v>
      </c>
      <c r="B138" s="9">
        <v>100697174.06999999</v>
      </c>
      <c r="C138" s="9">
        <v>27167458.170000002</v>
      </c>
      <c r="D138" s="9">
        <v>127864632.23999999</v>
      </c>
    </row>
    <row r="139" spans="1:4" x14ac:dyDescent="0.25">
      <c r="A139" s="2" t="str">
        <f>"3.1.0.00.00- DESPESAS OPERACIONAIS"</f>
        <v>3.1.0.00.00- DESPESAS OPERACIONAIS</v>
      </c>
      <c r="B139" s="9">
        <v>100697174.06999999</v>
      </c>
      <c r="C139" s="9">
        <v>27167458.170000002</v>
      </c>
      <c r="D139" s="9">
        <v>127864632.23999999</v>
      </c>
    </row>
    <row r="140" spans="1:4" x14ac:dyDescent="0.25">
      <c r="A140" s="2" t="str">
        <f>"3.1.1.00.00- SALARIOS ADICIONAIS E HONORARIOS"</f>
        <v>3.1.1.00.00- SALARIOS ADICIONAIS E HONORARIOS</v>
      </c>
      <c r="B140" s="9">
        <v>48845769.210000001</v>
      </c>
      <c r="C140" s="9">
        <v>12979750.18</v>
      </c>
      <c r="D140" s="9">
        <v>61825519.390000001</v>
      </c>
    </row>
    <row r="141" spans="1:4" x14ac:dyDescent="0.25">
      <c r="A141" s="2" t="str">
        <f>"3.1.1.00.01- Honorarios diretoria"</f>
        <v>3.1.1.00.01- Honorarios diretoria</v>
      </c>
      <c r="B141" s="9">
        <v>285616.08</v>
      </c>
      <c r="C141" s="9">
        <v>60637.87</v>
      </c>
      <c r="D141" s="9">
        <v>346253.95</v>
      </c>
    </row>
    <row r="142" spans="1:4" x14ac:dyDescent="0.25">
      <c r="A142" s="2" t="str">
        <f>"3.1.1.00.02- Honorarios conselho fiscal"</f>
        <v>3.1.1.00.02- Honorarios conselho fiscal</v>
      </c>
      <c r="B142" s="9">
        <v>41500.620000000003</v>
      </c>
      <c r="C142" s="9">
        <v>10072.51</v>
      </c>
      <c r="D142" s="9">
        <v>51573.13</v>
      </c>
    </row>
    <row r="143" spans="1:4" x14ac:dyDescent="0.25">
      <c r="A143" s="2" t="str">
        <f>"3.1.1.00.03- Honorarios cons. administracao"</f>
        <v>3.1.1.00.03- Honorarios cons. administracao</v>
      </c>
      <c r="B143" s="9">
        <v>85258.78</v>
      </c>
      <c r="C143" s="9">
        <v>19630.88</v>
      </c>
      <c r="D143" s="9">
        <v>104889.66</v>
      </c>
    </row>
    <row r="144" spans="1:4" x14ac:dyDescent="0.25">
      <c r="A144" s="2" t="str">
        <f>"3.1.1.00.04- Salarios e adicionais"</f>
        <v>3.1.1.00.04- Salarios e adicionais</v>
      </c>
      <c r="B144" s="9">
        <v>38839969.170000002</v>
      </c>
      <c r="C144" s="9">
        <v>9911002.8000000007</v>
      </c>
      <c r="D144" s="9">
        <v>48750971.969999999</v>
      </c>
    </row>
    <row r="145" spans="1:4" x14ac:dyDescent="0.25">
      <c r="A145" s="2" t="str">
        <f>"3.1.1.00.05- Ferias e abono pecuniario"</f>
        <v>3.1.1.00.05- Ferias e abono pecuniario</v>
      </c>
      <c r="B145" s="9">
        <v>5814496.0999999996</v>
      </c>
      <c r="C145" s="9">
        <v>1825580.82</v>
      </c>
      <c r="D145" s="9">
        <v>7640076.9199999999</v>
      </c>
    </row>
    <row r="146" spans="1:4" x14ac:dyDescent="0.25">
      <c r="A146" s="2" t="str">
        <f>"3.1.1.00.06- Decimo terceiro salario"</f>
        <v>3.1.1.00.06- Decimo terceiro salario</v>
      </c>
      <c r="B146" s="9">
        <v>3409453.96</v>
      </c>
      <c r="C146" s="9">
        <v>989875.88</v>
      </c>
      <c r="D146" s="9">
        <v>4399329.84</v>
      </c>
    </row>
    <row r="147" spans="1:4" x14ac:dyDescent="0.25">
      <c r="A147" s="2" t="str">
        <f>"3.1.1.00.07- Indenizacoes trabalhistas"</f>
        <v>3.1.1.00.07- Indenizacoes trabalhistas</v>
      </c>
      <c r="B147" s="9">
        <v>286383.43</v>
      </c>
      <c r="C147" s="9">
        <v>144833.97</v>
      </c>
      <c r="D147" s="9">
        <v>431217.4</v>
      </c>
    </row>
    <row r="148" spans="1:4" x14ac:dyDescent="0.25">
      <c r="A148" s="2" t="str">
        <f>"3.1.1.00.08- Bolsas de estagiario"</f>
        <v>3.1.1.00.08- Bolsas de estagiario</v>
      </c>
      <c r="B148" s="9">
        <v>83091.070000000007</v>
      </c>
      <c r="C148" s="9">
        <v>18115.45</v>
      </c>
      <c r="D148" s="9">
        <v>101206.52</v>
      </c>
    </row>
    <row r="149" spans="1:4" x14ac:dyDescent="0.25">
      <c r="A149" s="2" t="str">
        <f>"3.1.2.01.00- ENCARGOS SOCIAIS"</f>
        <v>3.1.2.01.00- ENCARGOS SOCIAIS</v>
      </c>
      <c r="B149" s="9">
        <v>17723044.879999999</v>
      </c>
      <c r="C149" s="9">
        <v>4668266.95</v>
      </c>
      <c r="D149" s="9">
        <v>22391311.829999998</v>
      </c>
    </row>
    <row r="150" spans="1:4" x14ac:dyDescent="0.25">
      <c r="A150" s="2" t="str">
        <f>"3.1.2.01.01- INSS"</f>
        <v>3.1.2.01.01- INSS</v>
      </c>
      <c r="B150" s="9">
        <v>13868398.07</v>
      </c>
      <c r="C150" s="9">
        <v>3674615.16</v>
      </c>
      <c r="D150" s="9">
        <v>17543013.23</v>
      </c>
    </row>
    <row r="151" spans="1:4" x14ac:dyDescent="0.25">
      <c r="A151" s="2" t="str">
        <f>"3.1.2.01.02- FGTS"</f>
        <v>3.1.2.01.02- FGTS</v>
      </c>
      <c r="B151" s="9">
        <v>3854646.81</v>
      </c>
      <c r="C151" s="9">
        <v>993651.79</v>
      </c>
      <c r="D151" s="9">
        <v>4848298.5999999996</v>
      </c>
    </row>
    <row r="152" spans="1:4" x14ac:dyDescent="0.25">
      <c r="A152" s="2" t="str">
        <f>"3.1.2.02.00- OUTRAS DESPESAS COM PESSOAL"</f>
        <v>3.1.2.02.00- OUTRAS DESPESAS COM PESSOAL</v>
      </c>
      <c r="B152" s="9">
        <v>10785699.26</v>
      </c>
      <c r="C152" s="9">
        <v>2311720.64</v>
      </c>
      <c r="D152" s="9">
        <v>13097419.9</v>
      </c>
    </row>
    <row r="153" spans="1:4" x14ac:dyDescent="0.25">
      <c r="A153" s="2" t="str">
        <f>"3.1.2.02.01- Seguros de Vida"</f>
        <v>3.1.2.02.01- Seguros de Vida</v>
      </c>
      <c r="B153" s="9">
        <v>31671.599999999999</v>
      </c>
      <c r="C153" s="9">
        <v>17724.05</v>
      </c>
      <c r="D153" s="9">
        <v>49395.65</v>
      </c>
    </row>
    <row r="154" spans="1:4" x14ac:dyDescent="0.25">
      <c r="A154" s="2" t="str">
        <f>"3.1.2.02.02- Ass. Medica Odontologica"</f>
        <v>3.1.2.02.02- Ass. Medica Odontologica</v>
      </c>
      <c r="B154" s="9">
        <v>2976555.41</v>
      </c>
      <c r="C154" s="9">
        <v>786274.2</v>
      </c>
      <c r="D154" s="9">
        <v>3762829.61</v>
      </c>
    </row>
    <row r="155" spans="1:4" x14ac:dyDescent="0.25">
      <c r="A155" s="2" t="str">
        <f>"3.1.2.02.03- Vale Transporte"</f>
        <v>3.1.2.02.03- Vale Transporte</v>
      </c>
      <c r="B155" s="9">
        <v>327595.94</v>
      </c>
      <c r="C155" s="9">
        <v>55796.95</v>
      </c>
      <c r="D155" s="9">
        <v>383392.89</v>
      </c>
    </row>
    <row r="156" spans="1:4" x14ac:dyDescent="0.25">
      <c r="A156" s="2" t="str">
        <f>"3.1.2.02.04- Vale Refeicao/Alimentacao"</f>
        <v>3.1.2.02.04- Vale Refeicao/Alimentacao</v>
      </c>
      <c r="B156" s="9">
        <v>7326556.29</v>
      </c>
      <c r="C156" s="9">
        <v>1419849.19</v>
      </c>
      <c r="D156" s="9">
        <v>8746405.4800000004</v>
      </c>
    </row>
    <row r="157" spans="1:4" x14ac:dyDescent="0.25">
      <c r="A157" s="2" t="str">
        <f>"3.1.2.02.05- Compl. Auxilio Doenca"</f>
        <v>3.1.2.02.05- Compl. Auxilio Doenca</v>
      </c>
      <c r="B157" s="9">
        <v>68268.759999999995</v>
      </c>
      <c r="C157" s="9">
        <v>17447.84</v>
      </c>
      <c r="D157" s="9">
        <v>85716.6</v>
      </c>
    </row>
    <row r="158" spans="1:4" x14ac:dyDescent="0.25">
      <c r="A158" s="2" t="str">
        <f>"3.1.2.02.07- Auxilio Creche"</f>
        <v>3.1.2.02.07- Auxilio Creche</v>
      </c>
      <c r="B158" s="9">
        <v>55051.26</v>
      </c>
      <c r="C158" s="9">
        <v>14628.41</v>
      </c>
      <c r="D158" s="9">
        <v>69679.67</v>
      </c>
    </row>
    <row r="159" spans="1:4" x14ac:dyDescent="0.25">
      <c r="A159" s="2" t="str">
        <f>"3.1.3.00.00- MATERIAIS"</f>
        <v>3.1.3.00.00- MATERIAIS</v>
      </c>
      <c r="B159" s="9">
        <v>331525.89</v>
      </c>
      <c r="C159" s="9">
        <v>9727.48</v>
      </c>
      <c r="D159" s="9">
        <v>341253.37</v>
      </c>
    </row>
    <row r="160" spans="1:4" x14ac:dyDescent="0.25">
      <c r="A160" s="2" t="str">
        <f>"3.1.3.00.01- Bens de natureza permanente"</f>
        <v>3.1.3.00.01- Bens de natureza permanente</v>
      </c>
      <c r="B160" s="9">
        <v>175180</v>
      </c>
      <c r="C160" s="9">
        <v>0</v>
      </c>
      <c r="D160" s="9">
        <v>175180</v>
      </c>
    </row>
    <row r="161" spans="1:4" x14ac:dyDescent="0.25">
      <c r="A161" s="2" t="str">
        <f>"3.1.3.00.09- Material limp/conserv/copa/cozin"</f>
        <v>3.1.3.00.09- Material limp/conserv/copa/cozin</v>
      </c>
      <c r="B161" s="9">
        <v>63000.41</v>
      </c>
      <c r="C161" s="9">
        <v>11937.24</v>
      </c>
      <c r="D161" s="9">
        <v>74937.649999999994</v>
      </c>
    </row>
    <row r="162" spans="1:4" x14ac:dyDescent="0.25">
      <c r="A162" s="2" t="str">
        <f>"3.1.3.00.10- Impressos e material de escritorio"</f>
        <v>3.1.3.00.10- Impressos e material de escritorio</v>
      </c>
      <c r="B162" s="9">
        <v>34854.230000000003</v>
      </c>
      <c r="C162" s="9">
        <v>-8037.23</v>
      </c>
      <c r="D162" s="9">
        <v>26817</v>
      </c>
    </row>
    <row r="163" spans="1:4" x14ac:dyDescent="0.25">
      <c r="A163" s="2" t="str">
        <f>"3.1.3.00.11- Materiais manut. inst. prediais"</f>
        <v>3.1.3.00.11- Materiais manut. inst. prediais</v>
      </c>
      <c r="B163" s="9">
        <v>31927.86</v>
      </c>
      <c r="C163" s="9">
        <v>5605.87</v>
      </c>
      <c r="D163" s="9">
        <v>37533.730000000003</v>
      </c>
    </row>
    <row r="164" spans="1:4" x14ac:dyDescent="0.25">
      <c r="A164" s="2" t="str">
        <f>"3.1.3.00.15- Materiais e supriment informatic"</f>
        <v>3.1.3.00.15- Materiais e supriment informatic</v>
      </c>
      <c r="B164" s="9">
        <v>25283.39</v>
      </c>
      <c r="C164" s="9">
        <v>182.76</v>
      </c>
      <c r="D164" s="9">
        <v>25466.15</v>
      </c>
    </row>
    <row r="165" spans="1:4" x14ac:dyDescent="0.25">
      <c r="A165" s="2" t="str">
        <f>"3.1.3.00.99- Outros materiais"</f>
        <v>3.1.3.00.99- Outros materiais</v>
      </c>
      <c r="B165" s="9">
        <v>1280</v>
      </c>
      <c r="C165" s="9">
        <v>38.840000000000003</v>
      </c>
      <c r="D165" s="9">
        <v>1318.84</v>
      </c>
    </row>
    <row r="166" spans="1:4" x14ac:dyDescent="0.25">
      <c r="A166" s="2" t="str">
        <f>"3.1.4.00.00- SERVICOS PRESTADOS POR TERCEIROS"</f>
        <v>3.1.4.00.00- SERVICOS PRESTADOS POR TERCEIROS</v>
      </c>
      <c r="B166" s="9">
        <v>19563113.609999999</v>
      </c>
      <c r="C166" s="9">
        <v>6065588.0700000003</v>
      </c>
      <c r="D166" s="9">
        <v>25628701.68</v>
      </c>
    </row>
    <row r="167" spans="1:4" x14ac:dyDescent="0.25">
      <c r="A167" s="2" t="str">
        <f>"3.1.4.00.01- Consultoria"</f>
        <v>3.1.4.00.01- Consultoria</v>
      </c>
      <c r="B167" s="9">
        <v>11752.95</v>
      </c>
      <c r="C167" s="9">
        <v>2740.57</v>
      </c>
      <c r="D167" s="9">
        <v>14493.52</v>
      </c>
    </row>
    <row r="168" spans="1:4" x14ac:dyDescent="0.25">
      <c r="A168" s="2" t="str">
        <f>"3.1.4.00.02- Locacao de veiculos"</f>
        <v>3.1.4.00.02- Locacao de veiculos</v>
      </c>
      <c r="B168" s="9">
        <v>27100.32</v>
      </c>
      <c r="C168" s="9">
        <v>6775.08</v>
      </c>
      <c r="D168" s="9">
        <v>33875.4</v>
      </c>
    </row>
    <row r="169" spans="1:4" x14ac:dyDescent="0.25">
      <c r="A169" s="2" t="str">
        <f>"3.1.4.00.03- Locacao de equipamentos"</f>
        <v>3.1.4.00.03- Locacao de equipamentos</v>
      </c>
      <c r="B169" s="9">
        <v>24877.67</v>
      </c>
      <c r="C169" s="9">
        <v>2582.4899999999998</v>
      </c>
      <c r="D169" s="9">
        <v>27460.16</v>
      </c>
    </row>
    <row r="170" spans="1:4" x14ac:dyDescent="0.25">
      <c r="A170" s="2" t="str">
        <f>"3.1.4.00.08- Servicos de auditoria"</f>
        <v>3.1.4.00.08- Servicos de auditoria</v>
      </c>
      <c r="B170" s="9">
        <v>12200</v>
      </c>
      <c r="C170" s="9">
        <v>0</v>
      </c>
      <c r="D170" s="9">
        <v>12200</v>
      </c>
    </row>
    <row r="171" spans="1:4" x14ac:dyDescent="0.25">
      <c r="A171" s="2" t="str">
        <f>"3.1.4.00.10- Mao de obra contratada"</f>
        <v>3.1.4.00.10- Mao de obra contratada</v>
      </c>
      <c r="B171" s="9">
        <v>15945076.449999999</v>
      </c>
      <c r="C171" s="9">
        <v>4928067.74</v>
      </c>
      <c r="D171" s="9">
        <v>20873144.190000001</v>
      </c>
    </row>
    <row r="172" spans="1:4" x14ac:dyDescent="0.25">
      <c r="A172" s="2" t="str">
        <f>"3.1.4.00.13- Publicidade e divulgacao"</f>
        <v>3.1.4.00.13- Publicidade e divulgacao</v>
      </c>
      <c r="B172" s="9">
        <v>15364</v>
      </c>
      <c r="C172" s="9">
        <v>440</v>
      </c>
      <c r="D172" s="9">
        <v>15804</v>
      </c>
    </row>
    <row r="173" spans="1:4" x14ac:dyDescent="0.25">
      <c r="A173" s="2" t="str">
        <f>"3.1.4.00.14- Informatica-serv. e/ou locacao"</f>
        <v>3.1.4.00.14- Informatica-serv. e/ou locacao</v>
      </c>
      <c r="B173" s="9">
        <v>1103130.99</v>
      </c>
      <c r="C173" s="9">
        <v>372761.25</v>
      </c>
      <c r="D173" s="9">
        <v>1475892.24</v>
      </c>
    </row>
    <row r="174" spans="1:4" x14ac:dyDescent="0.25">
      <c r="A174" s="2" t="str">
        <f>"3.1.4.00.15- Outros serv. prestados - PF"</f>
        <v>3.1.4.00.15- Outros serv. prestados - PF</v>
      </c>
      <c r="B174" s="9">
        <v>89529.56</v>
      </c>
      <c r="C174" s="9">
        <v>23692.92</v>
      </c>
      <c r="D174" s="9">
        <v>113222.48</v>
      </c>
    </row>
    <row r="175" spans="1:4" x14ac:dyDescent="0.25">
      <c r="A175" s="2" t="str">
        <f>"3.1.4.00.16- Outros serv. Prestados - PJ"</f>
        <v>3.1.4.00.16- Outros serv. Prestados - PJ</v>
      </c>
      <c r="B175" s="9">
        <v>363008.55</v>
      </c>
      <c r="C175" s="9">
        <v>91676.51</v>
      </c>
      <c r="D175" s="9">
        <v>454685.06</v>
      </c>
    </row>
    <row r="176" spans="1:4" x14ac:dyDescent="0.25">
      <c r="A176" s="2" t="str">
        <f>"3.1.4.00.17- Servicos postais"</f>
        <v>3.1.4.00.17- Servicos postais</v>
      </c>
      <c r="B176" s="9">
        <v>37742.85</v>
      </c>
      <c r="C176" s="9">
        <v>3096.08</v>
      </c>
      <c r="D176" s="9">
        <v>40838.93</v>
      </c>
    </row>
    <row r="177" spans="1:4" x14ac:dyDescent="0.25">
      <c r="A177" s="2" t="str">
        <f>"3.1.4.00.19- Manut. imoveis/instal/equip.oper"</f>
        <v>3.1.4.00.19- Manut. imoveis/instal/equip.oper</v>
      </c>
      <c r="B177" s="9">
        <v>88794.7</v>
      </c>
      <c r="C177" s="9">
        <v>0</v>
      </c>
      <c r="D177" s="9">
        <v>88794.7</v>
      </c>
    </row>
    <row r="178" spans="1:4" x14ac:dyDescent="0.25">
      <c r="A178" s="2" t="str">
        <f>"3.1.4.00.26- Serv.limp.conserv."</f>
        <v>3.1.4.00.26- Serv.limp.conserv.</v>
      </c>
      <c r="B178" s="9">
        <v>1122104.99</v>
      </c>
      <c r="C178" s="9">
        <v>351469.28</v>
      </c>
      <c r="D178" s="9">
        <v>1473574.27</v>
      </c>
    </row>
    <row r="179" spans="1:4" x14ac:dyDescent="0.25">
      <c r="A179" s="2" t="str">
        <f>"3.1.4.00.32- Vale transporte"</f>
        <v>3.1.4.00.32- Vale transporte</v>
      </c>
      <c r="B179" s="9">
        <v>0</v>
      </c>
      <c r="C179" s="9">
        <v>36910.65</v>
      </c>
      <c r="D179" s="9">
        <v>36910.65</v>
      </c>
    </row>
    <row r="180" spans="1:4" x14ac:dyDescent="0.25">
      <c r="A180" s="2" t="str">
        <f>"3.1.4.00.33- Vale Ref./Al.terceir."</f>
        <v>3.1.4.00.33- Vale Ref./Al.terceir.</v>
      </c>
      <c r="B180" s="9">
        <v>190963.46</v>
      </c>
      <c r="C180" s="9">
        <v>87678.25</v>
      </c>
      <c r="D180" s="9">
        <v>278641.71000000002</v>
      </c>
    </row>
    <row r="181" spans="1:4" x14ac:dyDescent="0.25">
      <c r="A181" s="2" t="str">
        <f>"3.1.4.00.36- (-) Desconto ISSQN conf Lei 9145 serv. P"</f>
        <v>3.1.4.00.36- (-) Desconto ISSQN conf Lei 9145 serv. P</v>
      </c>
      <c r="B181" s="9">
        <v>-5019.17</v>
      </c>
      <c r="C181" s="9">
        <v>0</v>
      </c>
      <c r="D181" s="9">
        <v>-5019.17</v>
      </c>
    </row>
    <row r="182" spans="1:4" x14ac:dyDescent="0.25">
      <c r="A182" s="2" t="str">
        <f>"3.1.4.00.39- Convênio Guarda Municipal"</f>
        <v>3.1.4.00.39- Convênio Guarda Municipal</v>
      </c>
      <c r="B182" s="9">
        <v>536486.29</v>
      </c>
      <c r="C182" s="9">
        <v>157697.25</v>
      </c>
      <c r="D182" s="9">
        <v>694183.54</v>
      </c>
    </row>
    <row r="183" spans="1:4" x14ac:dyDescent="0.25">
      <c r="A183" s="2" t="str">
        <f>"3.1.5.00.00- TARIFAS PUBLICAS"</f>
        <v>3.1.5.00.00- TARIFAS PUBLICAS</v>
      </c>
      <c r="B183" s="9">
        <v>454484.26</v>
      </c>
      <c r="C183" s="9">
        <v>203505.81</v>
      </c>
      <c r="D183" s="9">
        <v>657990.06999999995</v>
      </c>
    </row>
    <row r="184" spans="1:4" x14ac:dyDescent="0.25">
      <c r="A184" s="2" t="str">
        <f>"3.1.5.00.02- Energia eletrica"</f>
        <v>3.1.5.00.02- Energia eletrica</v>
      </c>
      <c r="B184" s="9">
        <v>2763.7</v>
      </c>
      <c r="C184" s="9">
        <v>0</v>
      </c>
      <c r="D184" s="9">
        <v>2763.7</v>
      </c>
    </row>
    <row r="185" spans="1:4" x14ac:dyDescent="0.25">
      <c r="A185" s="2" t="str">
        <f>"3.1.5.00.03- Telefone"</f>
        <v>3.1.5.00.03- Telefone</v>
      </c>
      <c r="B185" s="9">
        <v>164561.07999999999</v>
      </c>
      <c r="C185" s="9">
        <v>69467.009999999995</v>
      </c>
      <c r="D185" s="9">
        <v>234028.09</v>
      </c>
    </row>
    <row r="186" spans="1:4" x14ac:dyDescent="0.25">
      <c r="A186" s="2" t="str">
        <f>"3.1.5.00.04- Copasa/FMS"</f>
        <v>3.1.5.00.04- Copasa/FMS</v>
      </c>
      <c r="B186" s="9">
        <v>287159.48</v>
      </c>
      <c r="C186" s="9">
        <v>134038.79999999999</v>
      </c>
      <c r="D186" s="9">
        <v>421198.28</v>
      </c>
    </row>
    <row r="187" spans="1:4" x14ac:dyDescent="0.25">
      <c r="A187" s="2" t="str">
        <f>"3.1.6.00.00- DESPESAS TRIBUTARIAS"</f>
        <v>3.1.6.00.00- DESPESAS TRIBUTARIAS</v>
      </c>
      <c r="B187" s="9">
        <v>1268377.8999999999</v>
      </c>
      <c r="C187" s="9">
        <v>399264.03</v>
      </c>
      <c r="D187" s="9">
        <v>1667641.93</v>
      </c>
    </row>
    <row r="188" spans="1:4" x14ac:dyDescent="0.25">
      <c r="A188" s="2" t="str">
        <f>"3.1.6.00.01- Taxas legais"</f>
        <v>3.1.6.00.01- Taxas legais</v>
      </c>
      <c r="B188" s="9">
        <v>997.16</v>
      </c>
      <c r="C188" s="9">
        <v>27972.080000000002</v>
      </c>
      <c r="D188" s="9">
        <v>28969.24</v>
      </c>
    </row>
    <row r="189" spans="1:4" x14ac:dyDescent="0.25">
      <c r="A189" s="2" t="str">
        <f>"3.1.6.00.03- IOF"</f>
        <v>3.1.6.00.03- IOF</v>
      </c>
      <c r="B189" s="9">
        <v>16842.3</v>
      </c>
      <c r="C189" s="9">
        <v>6551.31</v>
      </c>
      <c r="D189" s="9">
        <v>23393.61</v>
      </c>
    </row>
    <row r="190" spans="1:4" x14ac:dyDescent="0.25">
      <c r="A190" s="2" t="str">
        <f>"3.1.6.00.05- Contrib. Social s/lucro liquido"</f>
        <v>3.1.6.00.05- Contrib. Social s/lucro liquido</v>
      </c>
      <c r="B190" s="9">
        <v>90299.12</v>
      </c>
      <c r="C190" s="9">
        <v>0</v>
      </c>
      <c r="D190" s="9">
        <v>90299.12</v>
      </c>
    </row>
    <row r="191" spans="1:4" x14ac:dyDescent="0.25">
      <c r="A191" s="2" t="str">
        <f>"3.1.6.00.06- PIS"</f>
        <v>3.1.6.00.06- PIS</v>
      </c>
      <c r="B191" s="9">
        <v>195268.09</v>
      </c>
      <c r="C191" s="9">
        <v>63720.74</v>
      </c>
      <c r="D191" s="9">
        <v>258988.83</v>
      </c>
    </row>
    <row r="192" spans="1:4" x14ac:dyDescent="0.25">
      <c r="A192" s="2" t="str">
        <f>"3.1.6.00.07- COFINS"</f>
        <v>3.1.6.00.07- COFINS</v>
      </c>
      <c r="B192" s="9">
        <v>899416.63</v>
      </c>
      <c r="C192" s="9">
        <v>293501.59000000003</v>
      </c>
      <c r="D192" s="9">
        <v>1192918.22</v>
      </c>
    </row>
    <row r="193" spans="1:4" x14ac:dyDescent="0.25">
      <c r="A193" s="2" t="str">
        <f>"3.1.6.00.08- Multas indedutiveis"</f>
        <v>3.1.6.00.08- Multas indedutiveis</v>
      </c>
      <c r="B193" s="9">
        <v>0</v>
      </c>
      <c r="C193" s="9">
        <v>849.28</v>
      </c>
      <c r="D193" s="9">
        <v>849.28</v>
      </c>
    </row>
    <row r="194" spans="1:4" x14ac:dyDescent="0.25">
      <c r="A194" s="2" t="str">
        <f>"3.1.6.00.14- Contrib.entid.classe"</f>
        <v>3.1.6.00.14- Contrib.entid.classe</v>
      </c>
      <c r="B194" s="9">
        <v>5876.71</v>
      </c>
      <c r="C194" s="9">
        <v>0</v>
      </c>
      <c r="D194" s="9">
        <v>5876.71</v>
      </c>
    </row>
    <row r="195" spans="1:4" x14ac:dyDescent="0.25">
      <c r="A195" s="2" t="str">
        <f>"3.1.6.00.15- INSS Serv.terceiros"</f>
        <v>3.1.6.00.15- INSS Serv.terceiros</v>
      </c>
      <c r="B195" s="9">
        <v>17918.169999999998</v>
      </c>
      <c r="C195" s="9">
        <v>4820.41</v>
      </c>
      <c r="D195" s="9">
        <v>22738.58</v>
      </c>
    </row>
    <row r="196" spans="1:4" x14ac:dyDescent="0.25">
      <c r="A196" s="2" t="str">
        <f>"3.1.6.00.17- PIS s/ receitas financeiras"</f>
        <v>3.1.6.00.17- PIS s/ receitas financeiras</v>
      </c>
      <c r="B196" s="9">
        <v>5837.38</v>
      </c>
      <c r="C196" s="9">
        <v>258.41000000000003</v>
      </c>
      <c r="D196" s="9">
        <v>6095.79</v>
      </c>
    </row>
    <row r="197" spans="1:4" x14ac:dyDescent="0.25">
      <c r="A197" s="2" t="str">
        <f>"3.1.6.00.18- Cofins s/ receitas financeiras"</f>
        <v>3.1.6.00.18- Cofins s/ receitas financeiras</v>
      </c>
      <c r="B197" s="9">
        <v>35922.339999999997</v>
      </c>
      <c r="C197" s="9">
        <v>1590.21</v>
      </c>
      <c r="D197" s="9">
        <v>37512.550000000003</v>
      </c>
    </row>
    <row r="198" spans="1:4" x14ac:dyDescent="0.25">
      <c r="A198" s="2" t="str">
        <f>"3.1.7.00.00- DESPESAS FINANCEIRAS"</f>
        <v>3.1.7.00.00- DESPESAS FINANCEIRAS</v>
      </c>
      <c r="B198" s="9">
        <v>2473.86</v>
      </c>
      <c r="C198" s="9">
        <v>189.65</v>
      </c>
      <c r="D198" s="9">
        <v>2663.51</v>
      </c>
    </row>
    <row r="199" spans="1:4" x14ac:dyDescent="0.25">
      <c r="A199" s="2" t="str">
        <f>"3.1.7.01.01- Juros passivos curto prazo"</f>
        <v>3.1.7.01.01- Juros passivos curto prazo</v>
      </c>
      <c r="B199" s="9">
        <v>1805.98</v>
      </c>
      <c r="C199" s="9">
        <v>67.72</v>
      </c>
      <c r="D199" s="9">
        <v>1873.7</v>
      </c>
    </row>
    <row r="200" spans="1:4" x14ac:dyDescent="0.25">
      <c r="A200" s="2" t="str">
        <f>"3.1.7.01.02- Despesas bancarias"</f>
        <v>3.1.7.01.02- Despesas bancarias</v>
      </c>
      <c r="B200" s="9">
        <v>667.88</v>
      </c>
      <c r="C200" s="9">
        <v>121.93</v>
      </c>
      <c r="D200" s="9">
        <v>789.81</v>
      </c>
    </row>
    <row r="201" spans="1:4" x14ac:dyDescent="0.25">
      <c r="A201" s="2" t="str">
        <f>"3.1.8.00.00- OUTRAS DESPESAS"</f>
        <v>3.1.8.00.00- OUTRAS DESPESAS</v>
      </c>
      <c r="B201" s="9">
        <v>1722685.2</v>
      </c>
      <c r="C201" s="9">
        <v>529445.36</v>
      </c>
      <c r="D201" s="9">
        <v>2252130.56</v>
      </c>
    </row>
    <row r="202" spans="1:4" x14ac:dyDescent="0.25">
      <c r="A202" s="2" t="str">
        <f>"3.1.8.00.01- Despesas de viagem"</f>
        <v>3.1.8.00.01- Despesas de viagem</v>
      </c>
      <c r="B202" s="9">
        <v>11478.95</v>
      </c>
      <c r="C202" s="9">
        <v>1883.91</v>
      </c>
      <c r="D202" s="9">
        <v>13362.86</v>
      </c>
    </row>
    <row r="203" spans="1:4" x14ac:dyDescent="0.25">
      <c r="A203" s="2" t="str">
        <f>"3.1.8.00.05- Depreciacao/amort"</f>
        <v>3.1.8.00.05- Depreciacao/amort</v>
      </c>
      <c r="B203" s="9">
        <v>100703.25</v>
      </c>
      <c r="C203" s="9">
        <v>19634.939999999999</v>
      </c>
      <c r="D203" s="9">
        <v>120338.19</v>
      </c>
    </row>
    <row r="204" spans="1:4" x14ac:dyDescent="0.25">
      <c r="A204" s="2" t="str">
        <f>"3.1.8.00.06- Seguros bens moveis e imoveis"</f>
        <v>3.1.8.00.06- Seguros bens moveis e imoveis</v>
      </c>
      <c r="B204" s="9">
        <v>9580.2000000000007</v>
      </c>
      <c r="C204" s="9">
        <v>2506.36</v>
      </c>
      <c r="D204" s="9">
        <v>12086.56</v>
      </c>
    </row>
    <row r="205" spans="1:4" x14ac:dyDescent="0.25">
      <c r="A205" s="2" t="str">
        <f>"3.1.8.00.12- Acoes judiciais terceiros"</f>
        <v>3.1.8.00.12- Acoes judiciais terceiros</v>
      </c>
      <c r="B205" s="9">
        <v>9844.84</v>
      </c>
      <c r="C205" s="9">
        <v>2905.13</v>
      </c>
      <c r="D205" s="9">
        <v>12749.97</v>
      </c>
    </row>
    <row r="206" spans="1:4" x14ac:dyDescent="0.25">
      <c r="A206" s="2" t="str">
        <f>"3.1.8.00.16- Baixa de imobilizado"</f>
        <v>3.1.8.00.16- Baixa de imobilizado</v>
      </c>
      <c r="B206" s="9">
        <v>0</v>
      </c>
      <c r="C206" s="9">
        <v>103734.39</v>
      </c>
      <c r="D206" s="9">
        <v>103734.39</v>
      </c>
    </row>
    <row r="207" spans="1:4" x14ac:dyDescent="0.25">
      <c r="A207" s="2" t="str">
        <f>"3.1.8.00.19- Premios do concurso de video"</f>
        <v>3.1.8.00.19- Premios do concurso de video</v>
      </c>
      <c r="B207" s="9">
        <v>12000</v>
      </c>
      <c r="C207" s="9">
        <v>0</v>
      </c>
      <c r="D207" s="9">
        <v>12000</v>
      </c>
    </row>
    <row r="208" spans="1:4" x14ac:dyDescent="0.25">
      <c r="A208" s="2" t="str">
        <f>"3.1.8.00.21- Perdas no recebimento de credito"</f>
        <v>3.1.8.00.21- Perdas no recebimento de credito</v>
      </c>
      <c r="B208" s="9">
        <v>22054.71</v>
      </c>
      <c r="C208" s="9">
        <v>0</v>
      </c>
      <c r="D208" s="9">
        <v>22054.71</v>
      </c>
    </row>
    <row r="209" spans="1:4" x14ac:dyDescent="0.25">
      <c r="A209" s="2" t="str">
        <f>"3.1.8.00.23- Custas/Despesas Judiciais"</f>
        <v>3.1.8.00.23- Custas/Despesas Judiciais</v>
      </c>
      <c r="B209" s="9">
        <v>51025.17</v>
      </c>
      <c r="C209" s="9">
        <v>2400</v>
      </c>
      <c r="D209" s="9">
        <v>53425.17</v>
      </c>
    </row>
    <row r="210" spans="1:4" x14ac:dyDescent="0.25">
      <c r="A210" s="2" t="str">
        <f>"3.1.8.00.30- Estacionamento Rotativo Digital"</f>
        <v>3.1.8.00.30- Estacionamento Rotativo Digital</v>
      </c>
      <c r="B210" s="9">
        <v>1481053.52</v>
      </c>
      <c r="C210" s="9">
        <v>392836.3</v>
      </c>
      <c r="D210" s="9">
        <v>1873889.82</v>
      </c>
    </row>
    <row r="211" spans="1:4" x14ac:dyDescent="0.25">
      <c r="A211" s="2" t="str">
        <f>"3.1.8.00.99- Despesas diversas"</f>
        <v>3.1.8.00.99- Despesas diversas</v>
      </c>
      <c r="B211" s="9">
        <v>24944.560000000001</v>
      </c>
      <c r="C211" s="9">
        <v>3544.33</v>
      </c>
      <c r="D211" s="9">
        <v>28488.89</v>
      </c>
    </row>
    <row r="212" spans="1:4" x14ac:dyDescent="0.25">
      <c r="A212" s="2" t="str">
        <f>""</f>
        <v/>
      </c>
      <c r="B212" s="3" t="str">
        <f>""</f>
        <v/>
      </c>
      <c r="C212" s="3" t="str">
        <f>""</f>
        <v/>
      </c>
      <c r="D212" s="3" t="str">
        <f>""</f>
        <v/>
      </c>
    </row>
    <row r="213" spans="1:4" x14ac:dyDescent="0.25">
      <c r="A213" s="2" t="str">
        <f>"RECEITAS"</f>
        <v>RECEITAS</v>
      </c>
      <c r="B213" s="3" t="str">
        <f>""</f>
        <v/>
      </c>
      <c r="C213" s="3" t="str">
        <f>""</f>
        <v/>
      </c>
      <c r="D213" s="3" t="str">
        <f>""</f>
        <v/>
      </c>
    </row>
    <row r="214" spans="1:4" x14ac:dyDescent="0.25">
      <c r="A214" s="2" t="str">
        <f>"4.0.0.00.00- RECEITAS"</f>
        <v>4.0.0.00.00- RECEITAS</v>
      </c>
      <c r="B214" s="9">
        <v>99652751.079999998</v>
      </c>
      <c r="C214" s="9">
        <v>17988574.629999999</v>
      </c>
      <c r="D214" s="9">
        <v>117641325.70999999</v>
      </c>
    </row>
    <row r="215" spans="1:4" x14ac:dyDescent="0.25">
      <c r="A215" s="2" t="str">
        <f>"4.1.0.00.00- RECEITAS BHTRANS"</f>
        <v>4.1.0.00.00- RECEITAS BHTRANS</v>
      </c>
      <c r="B215" s="9">
        <v>11456502.289999999</v>
      </c>
      <c r="C215" s="9">
        <v>3831334.37</v>
      </c>
      <c r="D215" s="9">
        <v>15287836.66</v>
      </c>
    </row>
    <row r="216" spans="1:4" x14ac:dyDescent="0.25">
      <c r="A216" s="2" t="str">
        <f>"4.1.1.00.00- RECEITAS OPERACIONAIS"</f>
        <v>4.1.1.00.00- RECEITAS OPERACIONAIS</v>
      </c>
      <c r="B216" s="9">
        <v>10815750</v>
      </c>
      <c r="C216" s="9">
        <v>3613500</v>
      </c>
      <c r="D216" s="9">
        <v>14429250</v>
      </c>
    </row>
    <row r="217" spans="1:4" x14ac:dyDescent="0.25">
      <c r="A217" s="2" t="str">
        <f>"4.1.1.00.21- Estacionamento Rotativo Digital"</f>
        <v>4.1.1.00.21- Estacionamento Rotativo Digital</v>
      </c>
      <c r="B217" s="9">
        <v>10815750</v>
      </c>
      <c r="C217" s="9">
        <v>3613500</v>
      </c>
      <c r="D217" s="9">
        <v>14429250</v>
      </c>
    </row>
    <row r="218" spans="1:4" x14ac:dyDescent="0.25">
      <c r="A218" s="2" t="str">
        <f>"4.1.8.00.00- RECEITAS ALUGUEIS ESTACOES"</f>
        <v>4.1.8.00.00- RECEITAS ALUGUEIS ESTACOES</v>
      </c>
      <c r="B218" s="9">
        <v>640752.29</v>
      </c>
      <c r="C218" s="9">
        <v>217834.37</v>
      </c>
      <c r="D218" s="9">
        <v>858586.66</v>
      </c>
    </row>
    <row r="219" spans="1:4" x14ac:dyDescent="0.25">
      <c r="A219" s="2" t="str">
        <f>"4.1.8.00.01- Alugueis Estacoes"</f>
        <v>4.1.8.00.01- Alugueis Estacoes</v>
      </c>
      <c r="B219" s="9">
        <v>640752.29</v>
      </c>
      <c r="C219" s="9">
        <v>217834.37</v>
      </c>
      <c r="D219" s="9">
        <v>858586.66</v>
      </c>
    </row>
    <row r="220" spans="1:4" x14ac:dyDescent="0.25">
      <c r="A220" s="2" t="str">
        <f>"4.2.0.00.00- RECEITAS FINANCEIRAS"</f>
        <v>4.2.0.00.00- RECEITAS FINANCEIRAS</v>
      </c>
      <c r="B220" s="9">
        <v>898058.49</v>
      </c>
      <c r="C220" s="9">
        <v>39755.15</v>
      </c>
      <c r="D220" s="9">
        <v>937813.64</v>
      </c>
    </row>
    <row r="221" spans="1:4" x14ac:dyDescent="0.25">
      <c r="A221" s="2" t="str">
        <f>"4.2.1.00.00- RECEITAS FINANCEIRAS"</f>
        <v>4.2.1.00.00- RECEITAS FINANCEIRAS</v>
      </c>
      <c r="B221" s="9">
        <v>898058.49</v>
      </c>
      <c r="C221" s="9">
        <v>39755.15</v>
      </c>
      <c r="D221" s="9">
        <v>937813.64</v>
      </c>
    </row>
    <row r="222" spans="1:4" x14ac:dyDescent="0.25">
      <c r="A222" s="2" t="str">
        <f>"4.2.1.00.01- Rendimentos aplic. Financeira"</f>
        <v>4.2.1.00.01- Rendimentos aplic. Financeira</v>
      </c>
      <c r="B222" s="9">
        <v>896747.37</v>
      </c>
      <c r="C222" s="9">
        <v>39755.15</v>
      </c>
      <c r="D222" s="9">
        <v>936502.52</v>
      </c>
    </row>
    <row r="223" spans="1:4" x14ac:dyDescent="0.25">
      <c r="A223" s="2" t="str">
        <f>"4.2.1.00.05- Receitas Financeiras"</f>
        <v>4.2.1.00.05- Receitas Financeiras</v>
      </c>
      <c r="B223" s="9">
        <v>1311.12</v>
      </c>
      <c r="C223" s="9">
        <v>0</v>
      </c>
      <c r="D223" s="9">
        <v>1311.12</v>
      </c>
    </row>
    <row r="224" spans="1:4" x14ac:dyDescent="0.25">
      <c r="A224" s="2" t="str">
        <f>"4.3.0.00.00- OUTRAS RECEITAS"</f>
        <v>4.3.0.00.00- OUTRAS RECEITAS</v>
      </c>
      <c r="B224" s="9">
        <v>87298190.299999997</v>
      </c>
      <c r="C224" s="9">
        <v>14117485.109999999</v>
      </c>
      <c r="D224" s="9">
        <v>101415675.41</v>
      </c>
    </row>
    <row r="225" spans="1:4" x14ac:dyDescent="0.25">
      <c r="A225" s="2" t="str">
        <f>"4.3.1.00.00- OUTRAS RECEITAS"</f>
        <v>4.3.1.00.00- OUTRAS RECEITAS</v>
      </c>
      <c r="B225" s="9">
        <v>87298190.299999997</v>
      </c>
      <c r="C225" s="9">
        <v>14117485.109999999</v>
      </c>
      <c r="D225" s="9">
        <v>101415675.41</v>
      </c>
    </row>
    <row r="226" spans="1:4" x14ac:dyDescent="0.25">
      <c r="A226" s="2" t="str">
        <f>"4.3.1.00.04- Receitas Diversas"</f>
        <v>4.3.1.00.04- Receitas Diversas</v>
      </c>
      <c r="B226" s="9">
        <v>377927.04</v>
      </c>
      <c r="C226" s="9">
        <v>30528.720000000001</v>
      </c>
      <c r="D226" s="9">
        <v>408455.76</v>
      </c>
    </row>
    <row r="227" spans="1:4" x14ac:dyDescent="0.25">
      <c r="A227" s="2" t="str">
        <f>"4.3.1.00.10- Outras Receitas- Subvenção Econ. Custeio"</f>
        <v>4.3.1.00.10- Outras Receitas- Subvenção Econ. Custeio</v>
      </c>
      <c r="B227" s="9">
        <v>86920263.260000005</v>
      </c>
      <c r="C227" s="9">
        <v>14086956.390000001</v>
      </c>
      <c r="D227" s="9">
        <v>101007219.65000001</v>
      </c>
    </row>
    <row r="228" spans="1:4" x14ac:dyDescent="0.25">
      <c r="A228" s="2" t="str">
        <f>""</f>
        <v/>
      </c>
      <c r="B228" s="3" t="str">
        <f>""</f>
        <v/>
      </c>
      <c r="C228" s="3" t="str">
        <f>""</f>
        <v/>
      </c>
      <c r="D228" s="3" t="str">
        <f>""</f>
        <v/>
      </c>
    </row>
    <row r="229" spans="1:4" x14ac:dyDescent="0.25">
      <c r="A229" s="2" t="str">
        <f>"APURACAO DE RESULTADOS"</f>
        <v>APURACAO DE RESULTADOS</v>
      </c>
      <c r="B229" s="3" t="str">
        <f>""</f>
        <v/>
      </c>
      <c r="C229" s="3" t="str">
        <f>""</f>
        <v/>
      </c>
      <c r="D229" s="3" t="str">
        <f>""</f>
        <v/>
      </c>
    </row>
    <row r="230" spans="1:4" x14ac:dyDescent="0.25">
      <c r="A230" s="2" t="str">
        <f>"5.0.0.00.00- APURACAO DE RESULTADOS"</f>
        <v>5.0.0.00.00- APURACAO DE RESULTADOS</v>
      </c>
      <c r="B230" s="9">
        <v>-1044422.99</v>
      </c>
      <c r="C230" s="9">
        <v>-9178883.5399999991</v>
      </c>
      <c r="D230" s="9">
        <v>-10223306.529999999</v>
      </c>
    </row>
    <row r="231" spans="1:4" x14ac:dyDescent="0.25">
      <c r="A231" s="2" t="str">
        <f>"5.1.0.00.00- APURACAO DE RESULTADOS"</f>
        <v>5.1.0.00.00- APURACAO DE RESULTADOS</v>
      </c>
      <c r="B231" s="9">
        <v>-1044422.99</v>
      </c>
      <c r="C231" s="9">
        <v>-9178883.5399999991</v>
      </c>
      <c r="D231" s="9">
        <v>-10223306.529999999</v>
      </c>
    </row>
    <row r="232" spans="1:4" x14ac:dyDescent="0.25">
      <c r="A232" s="2" t="str">
        <f>"5.1.1.00.00- APURACAO DE RESULTADOS"</f>
        <v>5.1.1.00.00- APURACAO DE RESULTADOS</v>
      </c>
      <c r="B232" s="9">
        <v>-1044422.99</v>
      </c>
      <c r="C232" s="9">
        <v>-9178883.5399999991</v>
      </c>
      <c r="D232" s="9">
        <v>-10223306.529999999</v>
      </c>
    </row>
    <row r="233" spans="1:4" x14ac:dyDescent="0.25">
      <c r="A233" s="2" t="str">
        <f>"5.1.1.00.01- Transferencia das Despesas"</f>
        <v>5.1.1.00.01- Transferencia das Despesas</v>
      </c>
      <c r="B233" s="9">
        <v>-100697174.06999999</v>
      </c>
      <c r="C233" s="9">
        <v>-27167458.170000002</v>
      </c>
      <c r="D233" s="9">
        <v>-127864632.23999999</v>
      </c>
    </row>
    <row r="234" spans="1:4" ht="15.75" thickBot="1" x14ac:dyDescent="0.3">
      <c r="A234" s="4" t="str">
        <f>"5.1.1.00.02- Transferencia das Receitas"</f>
        <v>5.1.1.00.02- Transferencia das Receitas</v>
      </c>
      <c r="B234" s="10">
        <v>99652751.079999998</v>
      </c>
      <c r="C234" s="10">
        <v>17988574.629999999</v>
      </c>
      <c r="D234" s="10">
        <v>117641325.70999999</v>
      </c>
    </row>
    <row r="235" spans="1:4" x14ac:dyDescent="0.25">
      <c r="A235" t="s">
        <v>4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08971-2398-4824-BF82-0C7EB78E2AE0}">
  <dimension ref="A1:D234"/>
  <sheetViews>
    <sheetView tabSelected="1" workbookViewId="0">
      <selection activeCell="F6" sqref="F6"/>
    </sheetView>
  </sheetViews>
  <sheetFormatPr defaultRowHeight="15" x14ac:dyDescent="0.25"/>
  <cols>
    <col min="1" max="1" width="71.5703125" bestFit="1" customWidth="1"/>
    <col min="2" max="2" width="14.5703125" bestFit="1" customWidth="1"/>
    <col min="3" max="3" width="14.28515625" bestFit="1" customWidth="1"/>
    <col min="4" max="4" width="14.5703125" bestFit="1" customWidth="1"/>
  </cols>
  <sheetData>
    <row r="1" spans="1:4" ht="19.5" thickBot="1" x14ac:dyDescent="0.35">
      <c r="A1" s="1" t="s">
        <v>10</v>
      </c>
      <c r="B1" s="1"/>
      <c r="C1" s="1"/>
      <c r="D1" s="1"/>
    </row>
    <row r="2" spans="1:4" ht="15.75" thickBot="1" x14ac:dyDescent="0.3">
      <c r="A2" s="7" t="s">
        <v>0</v>
      </c>
      <c r="B2" s="8" t="s">
        <v>1</v>
      </c>
      <c r="C2" s="8" t="s">
        <v>2</v>
      </c>
      <c r="D2" s="8" t="s">
        <v>3</v>
      </c>
    </row>
    <row r="3" spans="1:4" x14ac:dyDescent="0.25">
      <c r="A3" s="5" t="str">
        <f>"ATIVO"</f>
        <v>ATIVO</v>
      </c>
      <c r="B3" s="6" t="str">
        <f>""</f>
        <v/>
      </c>
      <c r="C3" s="6" t="str">
        <f>""</f>
        <v/>
      </c>
      <c r="D3" s="6" t="str">
        <f>""</f>
        <v/>
      </c>
    </row>
    <row r="4" spans="1:4" x14ac:dyDescent="0.25">
      <c r="A4" s="2" t="str">
        <f>"1.0.0.00.00- ATIVO"</f>
        <v>1.0.0.00.00- ATIVO</v>
      </c>
      <c r="B4" s="9">
        <v>62028977.659999996</v>
      </c>
      <c r="C4" s="9">
        <v>1087980</v>
      </c>
      <c r="D4" s="9">
        <v>63116957.659999996</v>
      </c>
    </row>
    <row r="5" spans="1:4" x14ac:dyDescent="0.25">
      <c r="A5" s="2" t="str">
        <f>"1.1.0.00.00- ATIVO CIRCULANTE"</f>
        <v>1.1.0.00.00- ATIVO CIRCULANTE</v>
      </c>
      <c r="B5" s="9">
        <v>28089841.239999998</v>
      </c>
      <c r="C5" s="9">
        <v>1102873.56</v>
      </c>
      <c r="D5" s="9">
        <v>29192714.800000001</v>
      </c>
    </row>
    <row r="6" spans="1:4" x14ac:dyDescent="0.25">
      <c r="A6" s="2" t="str">
        <f>"1.1.1.00.00- DISPONIVEL"</f>
        <v>1.1.1.00.00- DISPONIVEL</v>
      </c>
      <c r="B6" s="9">
        <v>19823893.07</v>
      </c>
      <c r="C6" s="9">
        <v>243738.49</v>
      </c>
      <c r="D6" s="9">
        <v>20067631.559999999</v>
      </c>
    </row>
    <row r="7" spans="1:4" x14ac:dyDescent="0.25">
      <c r="A7" s="2" t="str">
        <f>"1.1.1.02.00- BANCOS C/MOVIMENTO"</f>
        <v>1.1.1.02.00- BANCOS C/MOVIMENTO</v>
      </c>
      <c r="B7" s="9">
        <v>0</v>
      </c>
      <c r="C7" s="9">
        <v>264186.01</v>
      </c>
      <c r="D7" s="9">
        <v>264186.01</v>
      </c>
    </row>
    <row r="8" spans="1:4" x14ac:dyDescent="0.25">
      <c r="A8" s="2" t="str">
        <f>"1.1.1.02.31- Caixa Econômica Federal - 94511-6 - ROT"</f>
        <v>1.1.1.02.31- Caixa Econômica Federal - 94511-6 - ROT</v>
      </c>
      <c r="B8" s="9">
        <v>0</v>
      </c>
      <c r="C8" s="9">
        <v>264186.01</v>
      </c>
      <c r="D8" s="9">
        <v>264186.01</v>
      </c>
    </row>
    <row r="9" spans="1:4" x14ac:dyDescent="0.25">
      <c r="A9" s="2" t="str">
        <f>"1.1.1.03.00- APLICACOES FINANCEIRAS"</f>
        <v>1.1.1.03.00- APLICACOES FINANCEIRAS</v>
      </c>
      <c r="B9" s="9">
        <v>18073789.859999999</v>
      </c>
      <c r="C9" s="9">
        <v>-39234.800000000003</v>
      </c>
      <c r="D9" s="9">
        <v>18034555.059999999</v>
      </c>
    </row>
    <row r="10" spans="1:4" x14ac:dyDescent="0.25">
      <c r="A10" s="2" t="str">
        <f>"1.1.1.03.22- Caixa Econômica Federal - 94505-1"</f>
        <v>1.1.1.03.22- Caixa Econômica Federal - 94505-1</v>
      </c>
      <c r="B10" s="9">
        <v>2031095.05</v>
      </c>
      <c r="C10" s="9">
        <v>-266659.76</v>
      </c>
      <c r="D10" s="9">
        <v>1764435.29</v>
      </c>
    </row>
    <row r="11" spans="1:4" x14ac:dyDescent="0.25">
      <c r="A11" s="2" t="str">
        <f>"1.1.1.03.23- Caixa Econômica Federal - 94506-0"</f>
        <v>1.1.1.03.23- Caixa Econômica Federal - 94506-0</v>
      </c>
      <c r="B11" s="9">
        <v>15984098.75</v>
      </c>
      <c r="C11" s="9">
        <v>226904.81</v>
      </c>
      <c r="D11" s="9">
        <v>16211003.560000001</v>
      </c>
    </row>
    <row r="12" spans="1:4" x14ac:dyDescent="0.25">
      <c r="A12" s="2" t="str">
        <f>"1.1.1.03.36- Caixa Econômica Federal - 94528-0 Sucumb"</f>
        <v>1.1.1.03.36- Caixa Econômica Federal - 94528-0 Sucumb</v>
      </c>
      <c r="B12" s="9">
        <v>6381.46</v>
      </c>
      <c r="C12" s="9">
        <v>68.78</v>
      </c>
      <c r="D12" s="9">
        <v>6450.24</v>
      </c>
    </row>
    <row r="13" spans="1:4" x14ac:dyDescent="0.25">
      <c r="A13" s="2" t="str">
        <f>"1.1.1.03.51- Banco do Brasil S/A 26485-7 Licitaç~es"</f>
        <v>1.1.1.03.51- Banco do Brasil S/A 26485-7 Licitaç~es</v>
      </c>
      <c r="B13" s="9">
        <v>52214.6</v>
      </c>
      <c r="C13" s="9">
        <v>451.37</v>
      </c>
      <c r="D13" s="9">
        <v>52665.97</v>
      </c>
    </row>
    <row r="14" spans="1:4" x14ac:dyDescent="0.25">
      <c r="A14" s="2" t="str">
        <f>"1.1.1.04.00- BANCOS C/VINCULADA"</f>
        <v>1.1.1.04.00- BANCOS C/VINCULADA</v>
      </c>
      <c r="B14" s="9">
        <v>1750103.21</v>
      </c>
      <c r="C14" s="9">
        <v>18787.28</v>
      </c>
      <c r="D14" s="9">
        <v>1768890.49</v>
      </c>
    </row>
    <row r="15" spans="1:4" x14ac:dyDescent="0.25">
      <c r="A15" s="2" t="str">
        <f>"1.1.1.04.10- Caixa Econômica Federal - 94521-3 Caução"</f>
        <v>1.1.1.04.10- Caixa Econômica Federal - 94521-3 Caução</v>
      </c>
      <c r="B15" s="9">
        <v>123417.47</v>
      </c>
      <c r="C15" s="9">
        <v>1285.95</v>
      </c>
      <c r="D15" s="9">
        <v>124703.42</v>
      </c>
    </row>
    <row r="16" spans="1:4" x14ac:dyDescent="0.25">
      <c r="A16" s="2" t="str">
        <f>"1.1.1.04.12- Caixa Econômica Federal - 94627-9 Leilão"</f>
        <v>1.1.1.04.12- Caixa Econômica Federal - 94627-9 Leilão</v>
      </c>
      <c r="B16" s="9">
        <v>1626685.74</v>
      </c>
      <c r="C16" s="9">
        <v>17501.330000000002</v>
      </c>
      <c r="D16" s="9">
        <v>1644187.07</v>
      </c>
    </row>
    <row r="17" spans="1:4" x14ac:dyDescent="0.25">
      <c r="A17" s="2" t="str">
        <f>"1.1.2.00.00- REALIZAVEL A CURTO PRAZO"</f>
        <v>1.1.2.00.00- REALIZAVEL A CURTO PRAZO</v>
      </c>
      <c r="B17" s="9">
        <v>8265948.1699999999</v>
      </c>
      <c r="C17" s="9">
        <v>859135.07</v>
      </c>
      <c r="D17" s="9">
        <v>9125083.2400000002</v>
      </c>
    </row>
    <row r="18" spans="1:4" x14ac:dyDescent="0.25">
      <c r="A18" s="2" t="str">
        <f>"1.1.2.01.00- CONTAS A RECEBER"</f>
        <v>1.1.2.01.00- CONTAS A RECEBER</v>
      </c>
      <c r="B18" s="9">
        <v>253567.34</v>
      </c>
      <c r="C18" s="9">
        <v>4428.92</v>
      </c>
      <c r="D18" s="9">
        <v>257996.26</v>
      </c>
    </row>
    <row r="19" spans="1:4" x14ac:dyDescent="0.25">
      <c r="A19" s="2" t="str">
        <f>"1.1.2.01.94- Midia Onibus a Receber"</f>
        <v>1.1.2.01.94- Midia Onibus a Receber</v>
      </c>
      <c r="B19" s="9">
        <v>253567.34</v>
      </c>
      <c r="C19" s="9">
        <v>0</v>
      </c>
      <c r="D19" s="9">
        <v>253567.34</v>
      </c>
    </row>
    <row r="20" spans="1:4" x14ac:dyDescent="0.25">
      <c r="A20" s="2" t="str">
        <f>"1.1.2.01.98- Outras contas a receber"</f>
        <v>1.1.2.01.98- Outras contas a receber</v>
      </c>
      <c r="B20" s="9">
        <v>0</v>
      </c>
      <c r="C20" s="9">
        <v>4428.92</v>
      </c>
      <c r="D20" s="9">
        <v>4428.92</v>
      </c>
    </row>
    <row r="21" spans="1:4" x14ac:dyDescent="0.25">
      <c r="A21" s="2" t="str">
        <f>"1.1.2.06.00- ADIANTAMENTO A EMPREGADOS"</f>
        <v>1.1.2.06.00- ADIANTAMENTO A EMPREGADOS</v>
      </c>
      <c r="B21" s="9">
        <v>2919965.95</v>
      </c>
      <c r="C21" s="9">
        <v>776152.53</v>
      </c>
      <c r="D21" s="9">
        <v>3696118.48</v>
      </c>
    </row>
    <row r="22" spans="1:4" x14ac:dyDescent="0.25">
      <c r="A22" s="2" t="str">
        <f>"1.1.2.06.01- Adiantamento de Ferias"</f>
        <v>1.1.2.06.01- Adiantamento de Ferias</v>
      </c>
      <c r="B22" s="9">
        <v>944120.65</v>
      </c>
      <c r="C22" s="9">
        <v>568659.97</v>
      </c>
      <c r="D22" s="9">
        <v>1512780.62</v>
      </c>
    </row>
    <row r="23" spans="1:4" x14ac:dyDescent="0.25">
      <c r="A23" s="2" t="str">
        <f>"1.1.2.06.02- Adiantamento de 13. Salario"</f>
        <v>1.1.2.06.02- Adiantamento de 13. Salario</v>
      </c>
      <c r="B23" s="9">
        <v>1946951.6799999999</v>
      </c>
      <c r="C23" s="9">
        <v>188746.53</v>
      </c>
      <c r="D23" s="9">
        <v>2135698.21</v>
      </c>
    </row>
    <row r="24" spans="1:4" x14ac:dyDescent="0.25">
      <c r="A24" s="2" t="str">
        <f>"1.1.2.06.03- Adiant. de Salario/Parc. Ferias"</f>
        <v>1.1.2.06.03- Adiant. de Salario/Parc. Ferias</v>
      </c>
      <c r="B24" s="9">
        <v>23784.58</v>
      </c>
      <c r="C24" s="9">
        <v>7641.29</v>
      </c>
      <c r="D24" s="9">
        <v>31425.87</v>
      </c>
    </row>
    <row r="25" spans="1:4" x14ac:dyDescent="0.25">
      <c r="A25" s="2" t="str">
        <f>"1.1.2.06.07- Adiantamento Pensao s/ Ferias"</f>
        <v>1.1.2.06.07- Adiantamento Pensao s/ Ferias</v>
      </c>
      <c r="B25" s="9">
        <v>5109.04</v>
      </c>
      <c r="C25" s="9">
        <v>11104.74</v>
      </c>
      <c r="D25" s="9">
        <v>16213.78</v>
      </c>
    </row>
    <row r="26" spans="1:4" x14ac:dyDescent="0.25">
      <c r="A26" s="2" t="str">
        <f>"1.1.2.08.00- ALMOXARIFADO"</f>
        <v>1.1.2.08.00- ALMOXARIFADO</v>
      </c>
      <c r="B26" s="9">
        <v>609751.4</v>
      </c>
      <c r="C26" s="9">
        <v>-26122.59</v>
      </c>
      <c r="D26" s="9">
        <v>583628.81000000006</v>
      </c>
    </row>
    <row r="27" spans="1:4" x14ac:dyDescent="0.25">
      <c r="A27" s="2" t="str">
        <f>"1.1.2.08.01- Material em Estoque"</f>
        <v>1.1.2.08.01- Material em Estoque</v>
      </c>
      <c r="B27" s="9">
        <v>609751.4</v>
      </c>
      <c r="C27" s="9">
        <v>-26122.59</v>
      </c>
      <c r="D27" s="9">
        <v>583628.81000000006</v>
      </c>
    </row>
    <row r="28" spans="1:4" x14ac:dyDescent="0.25">
      <c r="A28" s="2" t="str">
        <f>"1.1.2.10.00- IMPOSTOS E CONTRIB.A RECUPERAR"</f>
        <v>1.1.2.10.00- IMPOSTOS E CONTRIB.A RECUPERAR</v>
      </c>
      <c r="B28" s="9">
        <v>5245698.3</v>
      </c>
      <c r="C28" s="9">
        <v>-5886.12</v>
      </c>
      <c r="D28" s="9">
        <v>5239812.18</v>
      </c>
    </row>
    <row r="29" spans="1:4" x14ac:dyDescent="0.25">
      <c r="A29" s="2" t="str">
        <f>"1.1.2.10.01- IR s/Aplicacao Financeira"</f>
        <v>1.1.2.10.01- IR s/Aplicacao Financeira</v>
      </c>
      <c r="B29" s="9">
        <v>458542.87</v>
      </c>
      <c r="C29" s="9">
        <v>7269.22</v>
      </c>
      <c r="D29" s="9">
        <v>465812.09</v>
      </c>
    </row>
    <row r="30" spans="1:4" x14ac:dyDescent="0.25">
      <c r="A30" s="2" t="str">
        <f>"1.1.2.10.15- Cofins a Compensar"</f>
        <v>1.1.2.10.15- Cofins a Compensar</v>
      </c>
      <c r="B30" s="9">
        <v>3917045.74</v>
      </c>
      <c r="C30" s="9">
        <v>-11161</v>
      </c>
      <c r="D30" s="9">
        <v>3905884.74</v>
      </c>
    </row>
    <row r="31" spans="1:4" x14ac:dyDescent="0.25">
      <c r="A31" s="2" t="str">
        <f>"1.1.2.10.16- PIS a Compensar"</f>
        <v>1.1.2.10.16- PIS a Compensar</v>
      </c>
      <c r="B31" s="9">
        <v>870109.69</v>
      </c>
      <c r="C31" s="9">
        <v>-1994.34</v>
      </c>
      <c r="D31" s="9">
        <v>868115.35</v>
      </c>
    </row>
    <row r="32" spans="1:4" x14ac:dyDescent="0.25">
      <c r="A32" s="2" t="str">
        <f>"1.1.2.11.00- DESPESAS ANTECIPADAS"</f>
        <v>1.1.2.11.00- DESPESAS ANTECIPADAS</v>
      </c>
      <c r="B32" s="9">
        <v>5422.63</v>
      </c>
      <c r="C32" s="9">
        <v>17335.88</v>
      </c>
      <c r="D32" s="9">
        <v>22758.51</v>
      </c>
    </row>
    <row r="33" spans="1:4" x14ac:dyDescent="0.25">
      <c r="A33" s="2" t="str">
        <f>"1.1.2.11.01- Premios de Seguros a Vencer"</f>
        <v>1.1.2.11.01- Premios de Seguros a Vencer</v>
      </c>
      <c r="B33" s="9">
        <v>5422.63</v>
      </c>
      <c r="C33" s="9">
        <v>17335.88</v>
      </c>
      <c r="D33" s="9">
        <v>22758.51</v>
      </c>
    </row>
    <row r="34" spans="1:4" x14ac:dyDescent="0.25">
      <c r="A34" s="2" t="str">
        <f>"1.1.2.14.00- CONTAS TRANSITORIAS - GRUPO ATIVO"</f>
        <v>1.1.2.14.00- CONTAS TRANSITORIAS - GRUPO ATIVO</v>
      </c>
      <c r="B34" s="9">
        <v>-768457.45</v>
      </c>
      <c r="C34" s="9">
        <v>93226.45</v>
      </c>
      <c r="D34" s="9">
        <v>-675231</v>
      </c>
    </row>
    <row r="35" spans="1:4" x14ac:dyDescent="0.25">
      <c r="A35" s="2" t="str">
        <f>"1.1.2.14.07- Transitoria de Imposto"</f>
        <v>1.1.2.14.07- Transitoria de Imposto</v>
      </c>
      <c r="B35" s="9">
        <v>-768457.45</v>
      </c>
      <c r="C35" s="9">
        <v>93226.45</v>
      </c>
      <c r="D35" s="9">
        <v>-675231</v>
      </c>
    </row>
    <row r="36" spans="1:4" x14ac:dyDescent="0.25">
      <c r="A36" s="2" t="str">
        <f>"1.2.0.00.00- ATIVO NAO CIRCULANTE"</f>
        <v>1.2.0.00.00- ATIVO NAO CIRCULANTE</v>
      </c>
      <c r="B36" s="9">
        <v>33939136.420000002</v>
      </c>
      <c r="C36" s="9">
        <v>-14893.56</v>
      </c>
      <c r="D36" s="9">
        <v>33924242.859999999</v>
      </c>
    </row>
    <row r="37" spans="1:4" x14ac:dyDescent="0.25">
      <c r="A37" s="2" t="str">
        <f>"1.2.1.00.00- REALIZAVEL A LONGO PRAZO"</f>
        <v>1.2.1.00.00- REALIZAVEL A LONGO PRAZO</v>
      </c>
      <c r="B37" s="9">
        <v>33119329.23</v>
      </c>
      <c r="C37" s="9">
        <v>151.88</v>
      </c>
      <c r="D37" s="9">
        <v>33119481.109999999</v>
      </c>
    </row>
    <row r="38" spans="1:4" x14ac:dyDescent="0.25">
      <c r="A38" s="2" t="str">
        <f>"1.2.1.01.00- CREDITOS E VALORES A RECEBER"</f>
        <v>1.2.1.01.00- CREDITOS E VALORES A RECEBER</v>
      </c>
      <c r="B38" s="9">
        <v>33119329.23</v>
      </c>
      <c r="C38" s="9">
        <v>151.88</v>
      </c>
      <c r="D38" s="9">
        <v>33119481.109999999</v>
      </c>
    </row>
    <row r="39" spans="1:4" x14ac:dyDescent="0.25">
      <c r="A39" s="2" t="str">
        <f>"1.2.1.01.01- Depositos Judiciais"</f>
        <v>1.2.1.01.01- Depositos Judiciais</v>
      </c>
      <c r="B39" s="9">
        <v>1081913.4099999999</v>
      </c>
      <c r="C39" s="9">
        <v>151.88</v>
      </c>
      <c r="D39" s="9">
        <v>1082065.29</v>
      </c>
    </row>
    <row r="40" spans="1:4" x14ac:dyDescent="0.25">
      <c r="A40" s="2" t="str">
        <f>"1.2.1.01.06- Multas Transporte Coletivo"</f>
        <v>1.2.1.01.06- Multas Transporte Coletivo</v>
      </c>
      <c r="B40" s="9">
        <v>40046769.780000001</v>
      </c>
      <c r="C40" s="9">
        <v>0</v>
      </c>
      <c r="D40" s="9">
        <v>40046769.780000001</v>
      </c>
    </row>
    <row r="41" spans="1:4" x14ac:dyDescent="0.25">
      <c r="A41" s="2" t="str">
        <f>"1.2.1.01.07- (-) Provisao para Perdas"</f>
        <v>1.2.1.01.07- (-) Provisao para Perdas</v>
      </c>
      <c r="B41" s="9">
        <v>-8009353.96</v>
      </c>
      <c r="C41" s="9">
        <v>0</v>
      </c>
      <c r="D41" s="9">
        <v>-8009353.96</v>
      </c>
    </row>
    <row r="42" spans="1:4" x14ac:dyDescent="0.25">
      <c r="A42" s="2" t="str">
        <f>"1.3.1.00.00- INVESTIMENTOS"</f>
        <v>1.3.1.00.00- INVESTIMENTOS</v>
      </c>
      <c r="B42" s="9">
        <v>26061.01</v>
      </c>
      <c r="C42" s="9">
        <v>0</v>
      </c>
      <c r="D42" s="9">
        <v>26061.01</v>
      </c>
    </row>
    <row r="43" spans="1:4" x14ac:dyDescent="0.25">
      <c r="A43" s="2" t="str">
        <f>"1.3.1.01.00- OUTROS INVESTIMENTOS"</f>
        <v>1.3.1.01.00- OUTROS INVESTIMENTOS</v>
      </c>
      <c r="B43" s="9">
        <v>26061.01</v>
      </c>
      <c r="C43" s="9">
        <v>0</v>
      </c>
      <c r="D43" s="9">
        <v>26061.01</v>
      </c>
    </row>
    <row r="44" spans="1:4" x14ac:dyDescent="0.25">
      <c r="A44" s="2" t="str">
        <f>"1.3.1.01.01- Obras de Arte"</f>
        <v>1.3.1.01.01- Obras de Arte</v>
      </c>
      <c r="B44" s="9">
        <v>25200</v>
      </c>
      <c r="C44" s="9">
        <v>0</v>
      </c>
      <c r="D44" s="9">
        <v>25200</v>
      </c>
    </row>
    <row r="45" spans="1:4" x14ac:dyDescent="0.25">
      <c r="A45" s="2" t="str">
        <f>"1.3.1.01.02- Participações Societárias - PBH ATIVOS"</f>
        <v>1.3.1.01.02- Participações Societárias - PBH ATIVOS</v>
      </c>
      <c r="B45" s="9">
        <v>861.01</v>
      </c>
      <c r="C45" s="9">
        <v>0</v>
      </c>
      <c r="D45" s="9">
        <v>861.01</v>
      </c>
    </row>
    <row r="46" spans="1:4" x14ac:dyDescent="0.25">
      <c r="A46" s="2" t="str">
        <f>"1.3.2.00.00- IMOBILIZADO"</f>
        <v>1.3.2.00.00- IMOBILIZADO</v>
      </c>
      <c r="B46" s="9">
        <v>4385292.01</v>
      </c>
      <c r="C46" s="9">
        <v>-1050</v>
      </c>
      <c r="D46" s="9">
        <v>4384242.01</v>
      </c>
    </row>
    <row r="47" spans="1:4" x14ac:dyDescent="0.25">
      <c r="A47" s="2" t="str">
        <f>"1.3.2.01.01- Maquinas e equipamentos"</f>
        <v>1.3.2.01.01- Maquinas e equipamentos</v>
      </c>
      <c r="B47" s="9">
        <v>133743.91</v>
      </c>
      <c r="C47" s="9">
        <v>0</v>
      </c>
      <c r="D47" s="9">
        <v>133743.91</v>
      </c>
    </row>
    <row r="48" spans="1:4" x14ac:dyDescent="0.25">
      <c r="A48" s="2" t="str">
        <f>"1.3.2.02.01- Ferramentas"</f>
        <v>1.3.2.02.01- Ferramentas</v>
      </c>
      <c r="B48" s="9">
        <v>3553.66</v>
      </c>
      <c r="C48" s="9">
        <v>0</v>
      </c>
      <c r="D48" s="9">
        <v>3553.66</v>
      </c>
    </row>
    <row r="49" spans="1:4" x14ac:dyDescent="0.25">
      <c r="A49" s="2" t="str">
        <f>"1.3.2.03.01- Equipamentos de comunicacao"</f>
        <v>1.3.2.03.01- Equipamentos de comunicacao</v>
      </c>
      <c r="B49" s="9">
        <v>15043</v>
      </c>
      <c r="C49" s="9">
        <v>0</v>
      </c>
      <c r="D49" s="9">
        <v>15043</v>
      </c>
    </row>
    <row r="50" spans="1:4" x14ac:dyDescent="0.25">
      <c r="A50" s="2" t="str">
        <f>"1.3.2.04.01- Instalacoes"</f>
        <v>1.3.2.04.01- Instalacoes</v>
      </c>
      <c r="B50" s="9">
        <v>43958.06</v>
      </c>
      <c r="C50" s="9">
        <v>0</v>
      </c>
      <c r="D50" s="9">
        <v>43958.06</v>
      </c>
    </row>
    <row r="51" spans="1:4" x14ac:dyDescent="0.25">
      <c r="A51" s="2" t="str">
        <f>"1.3.2.06.01- Moveis e utensilios"</f>
        <v>1.3.2.06.01- Moveis e utensilios</v>
      </c>
      <c r="B51" s="9">
        <v>322777.51</v>
      </c>
      <c r="C51" s="9">
        <v>0</v>
      </c>
      <c r="D51" s="9">
        <v>322777.51</v>
      </c>
    </row>
    <row r="52" spans="1:4" x14ac:dyDescent="0.25">
      <c r="A52" s="2" t="str">
        <f>"1.3.2.08.01- Instalacoes administrativas"</f>
        <v>1.3.2.08.01- Instalacoes administrativas</v>
      </c>
      <c r="B52" s="9">
        <v>57134.3</v>
      </c>
      <c r="C52" s="9">
        <v>0</v>
      </c>
      <c r="D52" s="9">
        <v>57134.3</v>
      </c>
    </row>
    <row r="53" spans="1:4" x14ac:dyDescent="0.25">
      <c r="A53" s="2" t="str">
        <f>"1.3.2.09.01- Aparelhos/equipamentos diversos"</f>
        <v>1.3.2.09.01- Aparelhos/equipamentos diversos</v>
      </c>
      <c r="B53" s="9">
        <v>309807.68</v>
      </c>
      <c r="C53" s="9">
        <v>-159</v>
      </c>
      <c r="D53" s="9">
        <v>309648.68</v>
      </c>
    </row>
    <row r="54" spans="1:4" x14ac:dyDescent="0.25">
      <c r="A54" s="2" t="str">
        <f>"1.3.2.10.01- Equip. p/ processamento de dados"</f>
        <v>1.3.2.10.01- Equip. p/ processamento de dados</v>
      </c>
      <c r="B54" s="9">
        <v>782793.88</v>
      </c>
      <c r="C54" s="9">
        <v>-891</v>
      </c>
      <c r="D54" s="9">
        <v>781902.88</v>
      </c>
    </row>
    <row r="55" spans="1:4" x14ac:dyDescent="0.25">
      <c r="A55" s="2" t="str">
        <f>"1.3.2.12.01- Micros/impressoras e acessorios"</f>
        <v>1.3.2.12.01- Micros/impressoras e acessorios</v>
      </c>
      <c r="B55" s="9">
        <v>944134.09</v>
      </c>
      <c r="C55" s="9">
        <v>0</v>
      </c>
      <c r="D55" s="9">
        <v>944134.09</v>
      </c>
    </row>
    <row r="56" spans="1:4" x14ac:dyDescent="0.25">
      <c r="A56" s="2" t="str">
        <f>"1.3.2.13.01- Imobilizacao em imoveis de terceiros"</f>
        <v>1.3.2.13.01- Imobilizacao em imoveis de terceiros</v>
      </c>
      <c r="B56" s="9">
        <v>609961.46</v>
      </c>
      <c r="C56" s="9">
        <v>0</v>
      </c>
      <c r="D56" s="9">
        <v>609961.46</v>
      </c>
    </row>
    <row r="57" spans="1:4" x14ac:dyDescent="0.25">
      <c r="A57" s="2" t="str">
        <f>"1.3.2.14.01- Estacao Diamante"</f>
        <v>1.3.2.14.01- Estacao Diamante</v>
      </c>
      <c r="B57" s="9">
        <v>1162384.46</v>
      </c>
      <c r="C57" s="9">
        <v>0</v>
      </c>
      <c r="D57" s="9">
        <v>1162384.46</v>
      </c>
    </row>
    <row r="58" spans="1:4" x14ac:dyDescent="0.25">
      <c r="A58" s="2" t="str">
        <f>"1.3.3.00.00- INTANGIVEL"</f>
        <v>1.3.3.00.00- INTANGIVEL</v>
      </c>
      <c r="B58" s="9">
        <v>37558</v>
      </c>
      <c r="C58" s="9">
        <v>0</v>
      </c>
      <c r="D58" s="9">
        <v>37558</v>
      </c>
    </row>
    <row r="59" spans="1:4" x14ac:dyDescent="0.25">
      <c r="A59" s="2" t="str">
        <f>"1.3.3.03.00- MARCAS E PATENTES"</f>
        <v>1.3.3.03.00- MARCAS E PATENTES</v>
      </c>
      <c r="B59" s="9">
        <v>808</v>
      </c>
      <c r="C59" s="9">
        <v>0</v>
      </c>
      <c r="D59" s="9">
        <v>808</v>
      </c>
    </row>
    <row r="60" spans="1:4" x14ac:dyDescent="0.25">
      <c r="A60" s="2" t="str">
        <f>"1.3.3.03.01- Marcas e Patentes"</f>
        <v>1.3.3.03.01- Marcas e Patentes</v>
      </c>
      <c r="B60" s="9">
        <v>808</v>
      </c>
      <c r="C60" s="9">
        <v>0</v>
      </c>
      <c r="D60" s="9">
        <v>808</v>
      </c>
    </row>
    <row r="61" spans="1:4" x14ac:dyDescent="0.25">
      <c r="A61" s="2" t="str">
        <f>"1.3.3.04.01- Programas e Sistemas"</f>
        <v>1.3.3.04.01- Programas e Sistemas</v>
      </c>
      <c r="B61" s="9">
        <v>36750</v>
      </c>
      <c r="C61" s="9">
        <v>0</v>
      </c>
      <c r="D61" s="9">
        <v>36750</v>
      </c>
    </row>
    <row r="62" spans="1:4" x14ac:dyDescent="0.25">
      <c r="A62" s="2" t="str">
        <f>"1.3.5.00.00- ( - )DEPRECIACAO E AMORTIZACAO"</f>
        <v>1.3.5.00.00- ( - )DEPRECIACAO E AMORTIZACAO</v>
      </c>
      <c r="B62" s="9">
        <v>-3629103.83</v>
      </c>
      <c r="C62" s="9">
        <v>-13995.44</v>
      </c>
      <c r="D62" s="9">
        <v>-3643099.27</v>
      </c>
    </row>
    <row r="63" spans="1:4" x14ac:dyDescent="0.25">
      <c r="A63" s="2" t="str">
        <f>"1.3.5.01.00- ( - ) DEPRECIACAO E AMORTIZACAO"</f>
        <v>1.3.5.01.00- ( - ) DEPRECIACAO E AMORTIZACAO</v>
      </c>
      <c r="B63" s="9">
        <v>-3629103.83</v>
      </c>
      <c r="C63" s="9">
        <v>-13995.44</v>
      </c>
      <c r="D63" s="9">
        <v>-3643099.27</v>
      </c>
    </row>
    <row r="64" spans="1:4" x14ac:dyDescent="0.25">
      <c r="A64" s="2" t="str">
        <f>"1.3.5.01.01- ( - ) Moveis e Utensilios"</f>
        <v>1.3.5.01.01- ( - ) Moveis e Utensilios</v>
      </c>
      <c r="B64" s="9">
        <v>-306662.05</v>
      </c>
      <c r="C64" s="9">
        <v>-217.94</v>
      </c>
      <c r="D64" s="9">
        <v>-306879.99</v>
      </c>
    </row>
    <row r="65" spans="1:4" x14ac:dyDescent="0.25">
      <c r="A65" s="2" t="str">
        <f>"1.3.5.01.02- ( - ) Aparelhos/Equipamentos Diversos"</f>
        <v>1.3.5.01.02- ( - ) Aparelhos/Equipamentos Diversos</v>
      </c>
      <c r="B65" s="9">
        <v>-291611.36</v>
      </c>
      <c r="C65" s="9">
        <v>-777.52</v>
      </c>
      <c r="D65" s="9">
        <v>-292388.88</v>
      </c>
    </row>
    <row r="66" spans="1:4" x14ac:dyDescent="0.25">
      <c r="A66" s="2" t="str">
        <f>"1.3.5.01.03- ( - ) Instalacoes Administrativas"</f>
        <v>1.3.5.01.03- ( - ) Instalacoes Administrativas</v>
      </c>
      <c r="B66" s="9">
        <v>-57134.3</v>
      </c>
      <c r="C66" s="9">
        <v>0</v>
      </c>
      <c r="D66" s="9">
        <v>-57134.3</v>
      </c>
    </row>
    <row r="67" spans="1:4" x14ac:dyDescent="0.25">
      <c r="A67" s="2" t="str">
        <f>"1.3.5.01.05- ( - ) Impressoras e Micros"</f>
        <v>1.3.5.01.05- ( - ) Impressoras e Micros</v>
      </c>
      <c r="B67" s="9">
        <v>-1187794.3500000001</v>
      </c>
      <c r="C67" s="9">
        <v>-10647.3</v>
      </c>
      <c r="D67" s="9">
        <v>-1198441.6499999999</v>
      </c>
    </row>
    <row r="68" spans="1:4" x14ac:dyDescent="0.25">
      <c r="A68" s="2" t="str">
        <f>"1.3.5.01.06- ( - ) Maquinas e Equipamentos"</f>
        <v>1.3.5.01.06- ( - ) Maquinas e Equipamentos</v>
      </c>
      <c r="B68" s="9">
        <v>-114074.05</v>
      </c>
      <c r="C68" s="9">
        <v>-417.75</v>
      </c>
      <c r="D68" s="9">
        <v>-114491.8</v>
      </c>
    </row>
    <row r="69" spans="1:4" x14ac:dyDescent="0.25">
      <c r="A69" s="2" t="str">
        <f>"1.3.5.01.07- ( - ) Equipamentos de Comunicacao"</f>
        <v>1.3.5.01.07- ( - ) Equipamentos de Comunicacao</v>
      </c>
      <c r="B69" s="9">
        <v>-15043</v>
      </c>
      <c r="C69" s="9">
        <v>0</v>
      </c>
      <c r="D69" s="9">
        <v>-15043</v>
      </c>
    </row>
    <row r="70" spans="1:4" x14ac:dyDescent="0.25">
      <c r="A70" s="2" t="str">
        <f>"1.3.5.01.08- ( - ) Instalacoes Operacionais"</f>
        <v>1.3.5.01.08- ( - ) Instalacoes Operacionais</v>
      </c>
      <c r="B70" s="9">
        <v>-43160.76</v>
      </c>
      <c r="C70" s="9">
        <v>-6.7</v>
      </c>
      <c r="D70" s="9">
        <v>-43167.46</v>
      </c>
    </row>
    <row r="71" spans="1:4" x14ac:dyDescent="0.25">
      <c r="A71" s="2" t="str">
        <f>"1.3.5.01.09- ( - ) Programas (Softwares)"</f>
        <v>1.3.5.01.09- ( - ) Programas (Softwares)</v>
      </c>
      <c r="B71" s="9">
        <v>-36750</v>
      </c>
      <c r="C71" s="9">
        <v>0</v>
      </c>
      <c r="D71" s="9">
        <v>-36750</v>
      </c>
    </row>
    <row r="72" spans="1:4" x14ac:dyDescent="0.25">
      <c r="A72" s="2" t="str">
        <f>"1.3.5.01.14- ( - ) Ferramentas"</f>
        <v>1.3.5.01.14- ( - ) Ferramentas</v>
      </c>
      <c r="B72" s="9">
        <v>-3553.66</v>
      </c>
      <c r="C72" s="9">
        <v>0</v>
      </c>
      <c r="D72" s="9">
        <v>-3553.66</v>
      </c>
    </row>
    <row r="73" spans="1:4" x14ac:dyDescent="0.25">
      <c r="A73" s="2" t="str">
        <f>"1.3.5.01.15- ( - ) Imobilizacoes em Imov. Terceiros"</f>
        <v>1.3.5.01.15- ( - ) Imobilizacoes em Imov. Terceiros</v>
      </c>
      <c r="B73" s="9">
        <v>-1573320.3</v>
      </c>
      <c r="C73" s="9">
        <v>-1928.23</v>
      </c>
      <c r="D73" s="9">
        <v>-1575248.53</v>
      </c>
    </row>
    <row r="74" spans="1:4" x14ac:dyDescent="0.25">
      <c r="A74" s="2" t="str">
        <f>""</f>
        <v/>
      </c>
      <c r="B74" s="3" t="str">
        <f>""</f>
        <v/>
      </c>
      <c r="C74" s="3" t="str">
        <f>""</f>
        <v/>
      </c>
      <c r="D74" s="3" t="str">
        <f>""</f>
        <v/>
      </c>
    </row>
    <row r="75" spans="1:4" x14ac:dyDescent="0.25">
      <c r="A75" s="2" t="str">
        <f>"PASSIVO"</f>
        <v>PASSIVO</v>
      </c>
      <c r="B75" s="3" t="str">
        <f>""</f>
        <v/>
      </c>
      <c r="C75" s="3" t="str">
        <f>""</f>
        <v/>
      </c>
      <c r="D75" s="3" t="str">
        <f>""</f>
        <v/>
      </c>
    </row>
    <row r="76" spans="1:4" x14ac:dyDescent="0.25">
      <c r="A76" s="2" t="str">
        <f>"2.0.0.00.00- PASSIVO"</f>
        <v>2.0.0.00.00- PASSIVO</v>
      </c>
      <c r="B76" s="9">
        <v>62028977.659999996</v>
      </c>
      <c r="C76" s="9">
        <v>1087980</v>
      </c>
      <c r="D76" s="9">
        <v>63116957.659999996</v>
      </c>
    </row>
    <row r="77" spans="1:4" x14ac:dyDescent="0.25">
      <c r="A77" s="2" t="str">
        <f>"2.1.0.00.00- PASSIVO CIRCULANTE"</f>
        <v>2.1.0.00.00- PASSIVO CIRCULANTE</v>
      </c>
      <c r="B77" s="9">
        <v>48930767.759999998</v>
      </c>
      <c r="C77" s="9">
        <v>-791876.15</v>
      </c>
      <c r="D77" s="9">
        <v>48138891.609999999</v>
      </c>
    </row>
    <row r="78" spans="1:4" x14ac:dyDescent="0.25">
      <c r="A78" s="2" t="str">
        <f>"2.1.1.00.00- OBRIGACOES COM PESSOAL"</f>
        <v>2.1.1.00.00- OBRIGACOES COM PESSOAL</v>
      </c>
      <c r="B78" s="9">
        <v>25829957.48</v>
      </c>
      <c r="C78" s="9">
        <v>1714783.92</v>
      </c>
      <c r="D78" s="9">
        <v>27544741.399999999</v>
      </c>
    </row>
    <row r="79" spans="1:4" x14ac:dyDescent="0.25">
      <c r="A79" s="2" t="str">
        <f>"2.1.1.01.00- SALARIOS A PAGAR"</f>
        <v>2.1.1.01.00- SALARIOS A PAGAR</v>
      </c>
      <c r="B79" s="9">
        <v>25829957.48</v>
      </c>
      <c r="C79" s="9">
        <v>1714783.92</v>
      </c>
      <c r="D79" s="9">
        <v>27544741.399999999</v>
      </c>
    </row>
    <row r="80" spans="1:4" x14ac:dyDescent="0.25">
      <c r="A80" s="2" t="str">
        <f>"2.1.1.01.01- Salarios a Pagar"</f>
        <v>2.1.1.01.01- Salarios a Pagar</v>
      </c>
      <c r="B80" s="9">
        <v>6781402.6600000001</v>
      </c>
      <c r="C80" s="9">
        <v>-326918.42</v>
      </c>
      <c r="D80" s="9">
        <v>6454484.2400000002</v>
      </c>
    </row>
    <row r="81" spans="1:4" x14ac:dyDescent="0.25">
      <c r="A81" s="2" t="str">
        <f>"2.1.1.01.02- Provisão 13º Salário"</f>
        <v>2.1.1.01.02- Provisão 13º Salário</v>
      </c>
      <c r="B81" s="9">
        <v>4384796.49</v>
      </c>
      <c r="C81" s="9">
        <v>833922.86</v>
      </c>
      <c r="D81" s="9">
        <v>5218719.3499999996</v>
      </c>
    </row>
    <row r="82" spans="1:4" x14ac:dyDescent="0.25">
      <c r="A82" s="2" t="str">
        <f>"2.1.1.01.03- Ferias a pagar"</f>
        <v>2.1.1.01.03- Ferias a pagar</v>
      </c>
      <c r="B82" s="9">
        <v>369408.01</v>
      </c>
      <c r="C82" s="9">
        <v>433111.81</v>
      </c>
      <c r="D82" s="9">
        <v>802519.82</v>
      </c>
    </row>
    <row r="83" spans="1:4" x14ac:dyDescent="0.25">
      <c r="A83" s="2" t="str">
        <f>"2.1.1.01.05- Rescisoes a Pagar"</f>
        <v>2.1.1.01.05- Rescisoes a Pagar</v>
      </c>
      <c r="B83" s="9">
        <v>1282.78</v>
      </c>
      <c r="C83" s="9">
        <v>306869.56</v>
      </c>
      <c r="D83" s="9">
        <v>308152.34000000003</v>
      </c>
    </row>
    <row r="84" spans="1:4" x14ac:dyDescent="0.25">
      <c r="A84" s="2" t="str">
        <f>"2.1.1.01.09- Provisao de Ferias"</f>
        <v>2.1.1.01.09- Provisao de Ferias</v>
      </c>
      <c r="B84" s="9">
        <v>14187836.25</v>
      </c>
      <c r="C84" s="9">
        <v>460573.01</v>
      </c>
      <c r="D84" s="9">
        <v>14648409.26</v>
      </c>
    </row>
    <row r="85" spans="1:4" x14ac:dyDescent="0.25">
      <c r="A85" s="2" t="str">
        <f>"2.1.1.01.12- Pensão Judicial"</f>
        <v>2.1.1.01.12- Pensão Judicial</v>
      </c>
      <c r="B85" s="9">
        <v>105231.29</v>
      </c>
      <c r="C85" s="9">
        <v>7225.1</v>
      </c>
      <c r="D85" s="9">
        <v>112456.39</v>
      </c>
    </row>
    <row r="86" spans="1:4" x14ac:dyDescent="0.25">
      <c r="A86" s="2" t="str">
        <f>"2.1.2.00.00- OBRIGACOES SOCIAIS A CURTO PRAZO"</f>
        <v>2.1.2.00.00- OBRIGACOES SOCIAIS A CURTO PRAZO</v>
      </c>
      <c r="B86" s="9">
        <v>12165208.4</v>
      </c>
      <c r="C86" s="9">
        <v>228011.44</v>
      </c>
      <c r="D86" s="9">
        <v>12393219.84</v>
      </c>
    </row>
    <row r="87" spans="1:4" x14ac:dyDescent="0.25">
      <c r="A87" s="2" t="str">
        <f>"2.1.2.01.00- OBRIGACOES SOCIAIS A RECOLHER"</f>
        <v>2.1.2.01.00- OBRIGACOES SOCIAIS A RECOLHER</v>
      </c>
      <c r="B87" s="9">
        <v>12165208.4</v>
      </c>
      <c r="C87" s="9">
        <v>228011.44</v>
      </c>
      <c r="D87" s="9">
        <v>12393219.84</v>
      </c>
    </row>
    <row r="88" spans="1:4" x14ac:dyDescent="0.25">
      <c r="A88" s="2" t="str">
        <f>"2.1.2.01.01- INSS a recolher s/Folha Pagto"</f>
        <v>2.1.2.01.01- INSS a recolher s/Folha Pagto</v>
      </c>
      <c r="B88" s="9">
        <v>3857959.35</v>
      </c>
      <c r="C88" s="9">
        <v>-87399.28</v>
      </c>
      <c r="D88" s="9">
        <v>3770560.07</v>
      </c>
    </row>
    <row r="89" spans="1:4" x14ac:dyDescent="0.25">
      <c r="A89" s="2" t="str">
        <f>"2.1.2.01.02- FGTS a recolher s/Folha Pagto"</f>
        <v>2.1.2.01.02- FGTS a recolher s/Folha Pagto</v>
      </c>
      <c r="B89" s="9">
        <v>880235.29</v>
      </c>
      <c r="C89" s="9">
        <v>-12901.88</v>
      </c>
      <c r="D89" s="9">
        <v>867333.41</v>
      </c>
    </row>
    <row r="90" spans="1:4" x14ac:dyDescent="0.25">
      <c r="A90" s="2" t="str">
        <f>"2.1.2.01.05- Contribuicao Sindical"</f>
        <v>2.1.2.01.05- Contribuicao Sindical</v>
      </c>
      <c r="B90" s="9">
        <v>31060.58</v>
      </c>
      <c r="C90" s="9">
        <v>60047.71</v>
      </c>
      <c r="D90" s="9">
        <v>91108.29</v>
      </c>
    </row>
    <row r="91" spans="1:4" x14ac:dyDescent="0.25">
      <c r="A91" s="2" t="str">
        <f>"2.1.2.01.06- INSS s/Provisao de Ferias"</f>
        <v>2.1.2.01.06- INSS s/Provisao de Ferias</v>
      </c>
      <c r="B91" s="9">
        <v>4151884.02</v>
      </c>
      <c r="C91" s="9">
        <v>136118.76999999999</v>
      </c>
      <c r="D91" s="9">
        <v>4288002.79</v>
      </c>
    </row>
    <row r="92" spans="1:4" x14ac:dyDescent="0.25">
      <c r="A92" s="2" t="str">
        <f>"2.1.2.01.09- INSS a Recolher s/Autonomos"</f>
        <v>2.1.2.01.09- INSS a Recolher s/Autonomos</v>
      </c>
      <c r="B92" s="9">
        <v>4820.41</v>
      </c>
      <c r="C92" s="9">
        <v>-237.9</v>
      </c>
      <c r="D92" s="9">
        <v>4582.51</v>
      </c>
    </row>
    <row r="93" spans="1:4" x14ac:dyDescent="0.25">
      <c r="A93" s="2" t="str">
        <f>"2.1.2.01.10- INSS s/Provisao de 13.Salario"</f>
        <v>2.1.2.01.10- INSS s/Provisao de 13.Salario</v>
      </c>
      <c r="B93" s="9">
        <v>1284485.32</v>
      </c>
      <c r="C93" s="9">
        <v>244072.23</v>
      </c>
      <c r="D93" s="9">
        <v>1528557.55</v>
      </c>
    </row>
    <row r="94" spans="1:4" x14ac:dyDescent="0.25">
      <c r="A94" s="2" t="str">
        <f>"2.1.2.01.11- FGTS s/Provisao de 13.Salario"</f>
        <v>2.1.2.01.11- FGTS s/Provisao de 13.Salario</v>
      </c>
      <c r="B94" s="9">
        <v>205759.43</v>
      </c>
      <c r="C94" s="9">
        <v>42134.89</v>
      </c>
      <c r="D94" s="9">
        <v>247894.32</v>
      </c>
    </row>
    <row r="95" spans="1:4" x14ac:dyDescent="0.25">
      <c r="A95" s="2" t="str">
        <f>"2.1.2.01.12- FGTS s/Provisao de Ferias"</f>
        <v>2.1.2.01.12- FGTS s/Provisao de Ferias</v>
      </c>
      <c r="B95" s="9">
        <v>1135022.96</v>
      </c>
      <c r="C95" s="9">
        <v>36840.269999999997</v>
      </c>
      <c r="D95" s="9">
        <v>1171863.23</v>
      </c>
    </row>
    <row r="96" spans="1:4" x14ac:dyDescent="0.25">
      <c r="A96" s="2" t="str">
        <f>"2.1.2.01.15- Crediserv-BH"</f>
        <v>2.1.2.01.15- Crediserv-BH</v>
      </c>
      <c r="B96" s="9">
        <v>27234.17</v>
      </c>
      <c r="C96" s="9">
        <v>-303.23</v>
      </c>
      <c r="D96" s="9">
        <v>26930.94</v>
      </c>
    </row>
    <row r="97" spans="1:4" x14ac:dyDescent="0.25">
      <c r="A97" s="2" t="str">
        <f>"2.1.2.01.16- INSS Fonte a Recolher - PJ"</f>
        <v>2.1.2.01.16- INSS Fonte a Recolher - PJ</v>
      </c>
      <c r="B97" s="9">
        <v>584910.43000000005</v>
      </c>
      <c r="C97" s="9">
        <v>-190314.46</v>
      </c>
      <c r="D97" s="9">
        <v>394595.97</v>
      </c>
    </row>
    <row r="98" spans="1:4" x14ac:dyDescent="0.25">
      <c r="A98" s="2" t="str">
        <f>"2.1.2.01.18- INSS Fonte a Recolher - P F"</f>
        <v>2.1.2.01.18- INSS Fonte a Recolher - P F</v>
      </c>
      <c r="B98" s="9">
        <v>1836.44</v>
      </c>
      <c r="C98" s="9">
        <v>-45.68</v>
      </c>
      <c r="D98" s="9">
        <v>1790.76</v>
      </c>
    </row>
    <row r="99" spans="1:4" x14ac:dyDescent="0.25">
      <c r="A99" s="2" t="str">
        <f>"2.1.3.00.00- OBRIGACOES FISCAIS A CURTO PRAZO"</f>
        <v>2.1.3.00.00- OBRIGACOES FISCAIS A CURTO PRAZO</v>
      </c>
      <c r="B99" s="9">
        <v>2997889.96</v>
      </c>
      <c r="C99" s="9">
        <v>-169683.07</v>
      </c>
      <c r="D99" s="9">
        <v>2828206.89</v>
      </c>
    </row>
    <row r="100" spans="1:4" x14ac:dyDescent="0.25">
      <c r="A100" s="2" t="str">
        <f>"2.1.3.01.00- IMPOSTOS E TAXAS A RECOLHER"</f>
        <v>2.1.3.01.00- IMPOSTOS E TAXAS A RECOLHER</v>
      </c>
      <c r="B100" s="9">
        <v>2997889.96</v>
      </c>
      <c r="C100" s="9">
        <v>-169683.07</v>
      </c>
      <c r="D100" s="9">
        <v>2828206.89</v>
      </c>
    </row>
    <row r="101" spans="1:4" x14ac:dyDescent="0.25">
      <c r="A101" s="2" t="str">
        <f>"2.1.3.01.01- IRRF Fonte Folha Pagto"</f>
        <v>2.1.3.01.01- IRRF Fonte Folha Pagto</v>
      </c>
      <c r="B101" s="9">
        <v>2015076.82</v>
      </c>
      <c r="C101" s="9">
        <v>-111460.54</v>
      </c>
      <c r="D101" s="9">
        <v>1903616.28</v>
      </c>
    </row>
    <row r="102" spans="1:4" x14ac:dyDescent="0.25">
      <c r="A102" s="2" t="str">
        <f>"2.1.3.01.03- IRRF Fonte - Pessoa  Juridica e Física"</f>
        <v>2.1.3.01.03- IRRF Fonte - Pessoa  Juridica e Física</v>
      </c>
      <c r="B102" s="9">
        <v>64639.360000000001</v>
      </c>
      <c r="C102" s="9">
        <v>-11825.81</v>
      </c>
      <c r="D102" s="9">
        <v>52813.55</v>
      </c>
    </row>
    <row r="103" spans="1:4" x14ac:dyDescent="0.25">
      <c r="A103" s="2" t="str">
        <f>"2.1.3.01.09- ISS Fonte a Recolher P.Juridica"</f>
        <v>2.1.3.01.09- ISS Fonte a Recolher P.Juridica</v>
      </c>
      <c r="B103" s="9">
        <v>478642.94</v>
      </c>
      <c r="C103" s="9">
        <v>-57204.99</v>
      </c>
      <c r="D103" s="9">
        <v>421437.95</v>
      </c>
    </row>
    <row r="104" spans="1:4" x14ac:dyDescent="0.25">
      <c r="A104" s="2" t="str">
        <f>"2.1.3.01.12- CSLL-COFINS-PIS - FONTE"</f>
        <v>2.1.3.01.12- CSLL-COFINS-PIS - FONTE</v>
      </c>
      <c r="B104" s="9">
        <v>439530.84</v>
      </c>
      <c r="C104" s="9">
        <v>10808.27</v>
      </c>
      <c r="D104" s="9">
        <v>450339.11</v>
      </c>
    </row>
    <row r="105" spans="1:4" x14ac:dyDescent="0.25">
      <c r="A105" s="2" t="str">
        <f>"2.1.4.00.00- OUTRAS OBRIGACOES A CURTO PRAZO"</f>
        <v>2.1.4.00.00- OUTRAS OBRIGACOES A CURTO PRAZO</v>
      </c>
      <c r="B105" s="9">
        <v>7937711.9199999999</v>
      </c>
      <c r="C105" s="9">
        <v>-2564988.44</v>
      </c>
      <c r="D105" s="9">
        <v>5372723.4800000004</v>
      </c>
    </row>
    <row r="106" spans="1:4" x14ac:dyDescent="0.25">
      <c r="A106" s="2" t="str">
        <f>"2.1.4.01.00- FORNECEDORES"</f>
        <v>2.1.4.01.00- FORNECEDORES</v>
      </c>
      <c r="B106" s="9">
        <v>6579248.4800000004</v>
      </c>
      <c r="C106" s="9">
        <v>-2555176.86</v>
      </c>
      <c r="D106" s="9">
        <v>4024071.62</v>
      </c>
    </row>
    <row r="107" spans="1:4" x14ac:dyDescent="0.25">
      <c r="A107" s="2" t="str">
        <f>"2.1.4.01.99- Fornecedores"</f>
        <v>2.1.4.01.99- Fornecedores</v>
      </c>
      <c r="B107" s="9">
        <v>6579248.4800000004</v>
      </c>
      <c r="C107" s="9">
        <v>-2555176.86</v>
      </c>
      <c r="D107" s="9">
        <v>4024071.62</v>
      </c>
    </row>
    <row r="108" spans="1:4" x14ac:dyDescent="0.25">
      <c r="A108" s="2" t="str">
        <f>"2.1.4.02.00- CONTAS A PAGAR"</f>
        <v>2.1.4.02.00- CONTAS A PAGAR</v>
      </c>
      <c r="B108" s="9">
        <v>440547.52</v>
      </c>
      <c r="C108" s="9">
        <v>-9811.58</v>
      </c>
      <c r="D108" s="9">
        <v>430735.94</v>
      </c>
    </row>
    <row r="109" spans="1:4" x14ac:dyDescent="0.25">
      <c r="A109" s="2" t="str">
        <f>"2.1.4.02.01- Emprestimo Consignado - Bradesco"</f>
        <v>2.1.4.02.01- Emprestimo Consignado - Bradesco</v>
      </c>
      <c r="B109" s="9">
        <v>272531.59000000003</v>
      </c>
      <c r="C109" s="9">
        <v>-5865.79</v>
      </c>
      <c r="D109" s="9">
        <v>266665.8</v>
      </c>
    </row>
    <row r="110" spans="1:4" x14ac:dyDescent="0.25">
      <c r="A110" s="2" t="str">
        <f>"2.1.4.02.03- Emprestimo Consignado - CEF"</f>
        <v>2.1.4.02.03- Emprestimo Consignado - CEF</v>
      </c>
      <c r="B110" s="9">
        <v>1342.05</v>
      </c>
      <c r="C110" s="9">
        <v>264.35000000000002</v>
      </c>
      <c r="D110" s="9">
        <v>1606.4</v>
      </c>
    </row>
    <row r="111" spans="1:4" x14ac:dyDescent="0.25">
      <c r="A111" s="2" t="str">
        <f>"2.1.4.02.05- Emprestimo Consignado-Banco Alfa"</f>
        <v>2.1.4.02.05- Emprestimo Consignado-Banco Alfa</v>
      </c>
      <c r="B111" s="9">
        <v>6987.38</v>
      </c>
      <c r="C111" s="9">
        <v>-659.81</v>
      </c>
      <c r="D111" s="9">
        <v>6327.57</v>
      </c>
    </row>
    <row r="112" spans="1:4" x14ac:dyDescent="0.25">
      <c r="A112" s="2" t="str">
        <f>"2.1.4.02.14- Emprestimo Consignado Trabalhador"</f>
        <v>2.1.4.02.14- Emprestimo Consignado Trabalhador</v>
      </c>
      <c r="B112" s="9">
        <v>129427.25</v>
      </c>
      <c r="C112" s="9">
        <v>-2852.23</v>
      </c>
      <c r="D112" s="9">
        <v>126575.02</v>
      </c>
    </row>
    <row r="113" spans="1:4" x14ac:dyDescent="0.25">
      <c r="A113" s="2" t="str">
        <f>"2.1.4.02.99- Contas a Pagar"</f>
        <v>2.1.4.02.99- Contas a Pagar</v>
      </c>
      <c r="B113" s="9">
        <v>30259.25</v>
      </c>
      <c r="C113" s="9">
        <v>-698.1</v>
      </c>
      <c r="D113" s="9">
        <v>29561.15</v>
      </c>
    </row>
    <row r="114" spans="1:4" x14ac:dyDescent="0.25">
      <c r="A114" s="2" t="str">
        <f>"2.1.4.04.00- CAUCAO DE TERCEIROS/LEILAO"</f>
        <v>2.1.4.04.00- CAUCAO DE TERCEIROS/LEILAO</v>
      </c>
      <c r="B114" s="9">
        <v>917915.92</v>
      </c>
      <c r="C114" s="9">
        <v>0</v>
      </c>
      <c r="D114" s="9">
        <v>917915.92</v>
      </c>
    </row>
    <row r="115" spans="1:4" x14ac:dyDescent="0.25">
      <c r="A115" s="2" t="str">
        <f>"2.1.4.04.98- Leilões"</f>
        <v>2.1.4.04.98- Leilões</v>
      </c>
      <c r="B115" s="9">
        <v>857604.91</v>
      </c>
      <c r="C115" s="9">
        <v>0</v>
      </c>
      <c r="D115" s="9">
        <v>857604.91</v>
      </c>
    </row>
    <row r="116" spans="1:4" x14ac:dyDescent="0.25">
      <c r="A116" s="2" t="str">
        <f>"2.1.4.04.99- Caucao de Terceiros"</f>
        <v>2.1.4.04.99- Caucao de Terceiros</v>
      </c>
      <c r="B116" s="9">
        <v>60311.01</v>
      </c>
      <c r="C116" s="9">
        <v>0</v>
      </c>
      <c r="D116" s="9">
        <v>60311.01</v>
      </c>
    </row>
    <row r="117" spans="1:4" x14ac:dyDescent="0.25">
      <c r="A117" s="2" t="str">
        <f>"2.2.0.00.00- PASSIVO NAO CIRCULANTE"</f>
        <v>2.2.0.00.00- PASSIVO NAO CIRCULANTE</v>
      </c>
      <c r="B117" s="9">
        <v>166631464.58000001</v>
      </c>
      <c r="C117" s="9">
        <v>-7412.76</v>
      </c>
      <c r="D117" s="9">
        <v>166624051.81999999</v>
      </c>
    </row>
    <row r="118" spans="1:4" x14ac:dyDescent="0.25">
      <c r="A118" s="2" t="str">
        <f>"2.2.4.00.00- OUTRAS OBRIGACOES A LONGO PRAZO"</f>
        <v>2.2.4.00.00- OUTRAS OBRIGACOES A LONGO PRAZO</v>
      </c>
      <c r="B118" s="9">
        <v>166631464.58000001</v>
      </c>
      <c r="C118" s="9">
        <v>-7412.76</v>
      </c>
      <c r="D118" s="9">
        <v>166624051.81999999</v>
      </c>
    </row>
    <row r="119" spans="1:4" x14ac:dyDescent="0.25">
      <c r="A119" s="2" t="str">
        <f>"2.2.4.01.00- CREDORES DIVERSOS"</f>
        <v>2.2.4.01.00- CREDORES DIVERSOS</v>
      </c>
      <c r="B119" s="9">
        <v>13236311.74</v>
      </c>
      <c r="C119" s="9">
        <v>0</v>
      </c>
      <c r="D119" s="9">
        <v>13236311.74</v>
      </c>
    </row>
    <row r="120" spans="1:4" x14ac:dyDescent="0.25">
      <c r="A120" s="2" t="str">
        <f>"2.2.4.01.04- Provisão para Contingências Fiscais"</f>
        <v>2.2.4.01.04- Provisão para Contingências Fiscais</v>
      </c>
      <c r="B120" s="9">
        <v>12294456.800000001</v>
      </c>
      <c r="C120" s="9">
        <v>0</v>
      </c>
      <c r="D120" s="9">
        <v>12294456.800000001</v>
      </c>
    </row>
    <row r="121" spans="1:4" x14ac:dyDescent="0.25">
      <c r="A121" s="2" t="str">
        <f>"2.2.4.01.05- INSS Segurados"</f>
        <v>2.2.4.01.05- INSS Segurados</v>
      </c>
      <c r="B121" s="9">
        <v>941854.94</v>
      </c>
      <c r="C121" s="9">
        <v>0</v>
      </c>
      <c r="D121" s="9">
        <v>941854.94</v>
      </c>
    </row>
    <row r="122" spans="1:4" x14ac:dyDescent="0.25">
      <c r="A122" s="2" t="str">
        <f>"2.2.4.04.00- ACOES JUDICIAIS E TRABALHISTAS"</f>
        <v>2.2.4.04.00- ACOES JUDICIAIS E TRABALHISTAS</v>
      </c>
      <c r="B122" s="9">
        <v>153395152.84</v>
      </c>
      <c r="C122" s="9">
        <v>-7412.76</v>
      </c>
      <c r="D122" s="9">
        <v>153387740.08000001</v>
      </c>
    </row>
    <row r="123" spans="1:4" x14ac:dyDescent="0.25">
      <c r="A123" s="2" t="str">
        <f>"2.2.4.04.01- Acoes judiciais"</f>
        <v>2.2.4.04.01- Acoes judiciais</v>
      </c>
      <c r="B123" s="9">
        <v>52228746.659999996</v>
      </c>
      <c r="C123" s="9">
        <v>0</v>
      </c>
      <c r="D123" s="9">
        <v>52228746.659999996</v>
      </c>
    </row>
    <row r="124" spans="1:4" x14ac:dyDescent="0.25">
      <c r="A124" s="2" t="str">
        <f>"2.2.4.04.02- Acoes trabalhistas"</f>
        <v>2.2.4.04.02- Acoes trabalhistas</v>
      </c>
      <c r="B124" s="9">
        <v>101166406.18000001</v>
      </c>
      <c r="C124" s="9">
        <v>-7412.76</v>
      </c>
      <c r="D124" s="9">
        <v>101158993.42</v>
      </c>
    </row>
    <row r="125" spans="1:4" x14ac:dyDescent="0.25">
      <c r="A125" s="2" t="str">
        <f>"2.4.0.00.00- PATRIMONIO LIQUIDO"</f>
        <v>2.4.0.00.00- PATRIMONIO LIQUIDO</v>
      </c>
      <c r="B125" s="9">
        <v>-153533254.68000001</v>
      </c>
      <c r="C125" s="9">
        <v>1887268.91</v>
      </c>
      <c r="D125" s="9">
        <v>-151645985.77000001</v>
      </c>
    </row>
    <row r="126" spans="1:4" x14ac:dyDescent="0.25">
      <c r="A126" s="2" t="str">
        <f>"2.4.1.00.00- CAPITAL SOCIAL"</f>
        <v>2.4.1.00.00- CAPITAL SOCIAL</v>
      </c>
      <c r="B126" s="9">
        <v>67418193.159999996</v>
      </c>
      <c r="C126" s="9">
        <v>0</v>
      </c>
      <c r="D126" s="9">
        <v>67418193.159999996</v>
      </c>
    </row>
    <row r="127" spans="1:4" x14ac:dyDescent="0.25">
      <c r="A127" s="2" t="str">
        <f>"2.4.1.02.00- CAPITAL REALIZADO"</f>
        <v>2.4.1.02.00- CAPITAL REALIZADO</v>
      </c>
      <c r="B127" s="9">
        <v>67418193.159999996</v>
      </c>
      <c r="C127" s="9">
        <v>0</v>
      </c>
      <c r="D127" s="9">
        <v>67418193.159999996</v>
      </c>
    </row>
    <row r="128" spans="1:4" x14ac:dyDescent="0.25">
      <c r="A128" s="2" t="str">
        <f>"2.4.1.02.01- Capital Subscrito"</f>
        <v>2.4.1.02.01- Capital Subscrito</v>
      </c>
      <c r="B128" s="9">
        <v>75000000</v>
      </c>
      <c r="C128" s="9">
        <v>0</v>
      </c>
      <c r="D128" s="9">
        <v>75000000</v>
      </c>
    </row>
    <row r="129" spans="1:4" x14ac:dyDescent="0.25">
      <c r="A129" s="2" t="str">
        <f>"2.4.1.02.04- Capital a Realizar"</f>
        <v>2.4.1.02.04- Capital a Realizar</v>
      </c>
      <c r="B129" s="9">
        <v>-7581806.8399999999</v>
      </c>
      <c r="C129" s="9">
        <v>0</v>
      </c>
      <c r="D129" s="9">
        <v>-7581806.8399999999</v>
      </c>
    </row>
    <row r="130" spans="1:4" x14ac:dyDescent="0.25">
      <c r="A130" s="2" t="str">
        <f>"2.4.3.00.00- RESULTADOS ACUMULADOS"</f>
        <v>2.4.3.00.00- RESULTADOS ACUMULADOS</v>
      </c>
      <c r="B130" s="9">
        <v>-220951447.84</v>
      </c>
      <c r="C130" s="9">
        <v>1887268.91</v>
      </c>
      <c r="D130" s="9">
        <v>-219064178.93000001</v>
      </c>
    </row>
    <row r="131" spans="1:4" x14ac:dyDescent="0.25">
      <c r="A131" s="2" t="str">
        <f>"2.4.3.01.00- LUCROS/PREJUIZOS ACUMULADOS"</f>
        <v>2.4.3.01.00- LUCROS/PREJUIZOS ACUMULADOS</v>
      </c>
      <c r="B131" s="9">
        <v>-220951447.84</v>
      </c>
      <c r="C131" s="9">
        <v>1887268.91</v>
      </c>
      <c r="D131" s="9">
        <v>-219064178.93000001</v>
      </c>
    </row>
    <row r="132" spans="1:4" x14ac:dyDescent="0.25">
      <c r="A132" s="2" t="str">
        <f>"2.4.3.01.01- Resultados de Exerc. Anteriores"</f>
        <v>2.4.3.01.01- Resultados de Exerc. Anteriores</v>
      </c>
      <c r="B132" s="9">
        <v>-210728141.31</v>
      </c>
      <c r="C132" s="9">
        <v>0</v>
      </c>
      <c r="D132" s="9">
        <v>-210728141.31</v>
      </c>
    </row>
    <row r="133" spans="1:4" x14ac:dyDescent="0.25">
      <c r="A133" s="2" t="str">
        <f>"2.4.3.01.02- Resultado deste Exercicio"</f>
        <v>2.4.3.01.02- Resultado deste Exercicio</v>
      </c>
      <c r="B133" s="9">
        <v>-10223306.529999999</v>
      </c>
      <c r="C133" s="9">
        <v>1887268.91</v>
      </c>
      <c r="D133" s="9">
        <v>-8336037.6200000001</v>
      </c>
    </row>
    <row r="134" spans="1:4" x14ac:dyDescent="0.25">
      <c r="A134" s="2" t="str">
        <f>""</f>
        <v/>
      </c>
      <c r="B134" s="3" t="str">
        <f>""</f>
        <v/>
      </c>
      <c r="C134" s="3" t="str">
        <f>""</f>
        <v/>
      </c>
      <c r="D134" s="3" t="str">
        <f>""</f>
        <v/>
      </c>
    </row>
    <row r="135" spans="1:4" x14ac:dyDescent="0.25">
      <c r="A135" s="2" t="str">
        <f>"DESPESAS"</f>
        <v>DESPESAS</v>
      </c>
      <c r="B135" s="3" t="str">
        <f>""</f>
        <v/>
      </c>
      <c r="C135" s="3" t="str">
        <f>""</f>
        <v/>
      </c>
      <c r="D135" s="3" t="str">
        <f>""</f>
        <v/>
      </c>
    </row>
    <row r="136" spans="1:4" x14ac:dyDescent="0.25">
      <c r="A136" s="2" t="str">
        <f>"3.0.0.00.00- DESPESAS"</f>
        <v>3.0.0.00.00- DESPESAS</v>
      </c>
      <c r="B136" s="9">
        <v>127864632.23999999</v>
      </c>
      <c r="C136" s="9">
        <v>23443926.399999999</v>
      </c>
      <c r="D136" s="9">
        <v>151308558.63999999</v>
      </c>
    </row>
    <row r="137" spans="1:4" x14ac:dyDescent="0.25">
      <c r="A137" s="2" t="str">
        <f>"3.1.0.00.00- DESPESAS OPERACIONAIS"</f>
        <v>3.1.0.00.00- DESPESAS OPERACIONAIS</v>
      </c>
      <c r="B137" s="9">
        <v>127864632.23999999</v>
      </c>
      <c r="C137" s="9">
        <v>23443926.399999999</v>
      </c>
      <c r="D137" s="9">
        <v>151308558.63999999</v>
      </c>
    </row>
    <row r="138" spans="1:4" x14ac:dyDescent="0.25">
      <c r="A138" s="2" t="str">
        <f>"3.1.1.00.00- SALARIOS ADICIONAIS E HONORARIOS"</f>
        <v>3.1.1.00.00- SALARIOS ADICIONAIS E HONORARIOS</v>
      </c>
      <c r="B138" s="9">
        <v>61825519.390000001</v>
      </c>
      <c r="C138" s="9">
        <v>11956627.4</v>
      </c>
      <c r="D138" s="9">
        <v>73782146.790000007</v>
      </c>
    </row>
    <row r="139" spans="1:4" x14ac:dyDescent="0.25">
      <c r="A139" s="2" t="str">
        <f>"3.1.1.00.01- Honorarios diretoria"</f>
        <v>3.1.1.00.01- Honorarios diretoria</v>
      </c>
      <c r="B139" s="9">
        <v>346253.95</v>
      </c>
      <c r="C139" s="9">
        <v>38064.46</v>
      </c>
      <c r="D139" s="9">
        <v>384318.41</v>
      </c>
    </row>
    <row r="140" spans="1:4" x14ac:dyDescent="0.25">
      <c r="A140" s="2" t="str">
        <f>"3.1.1.00.02- Honorarios conselho fiscal"</f>
        <v>3.1.1.00.02- Honorarios conselho fiscal</v>
      </c>
      <c r="B140" s="9">
        <v>51573.13</v>
      </c>
      <c r="C140" s="9">
        <v>11820.6</v>
      </c>
      <c r="D140" s="9">
        <v>63393.73</v>
      </c>
    </row>
    <row r="141" spans="1:4" x14ac:dyDescent="0.25">
      <c r="A141" s="2" t="str">
        <f>"3.1.1.00.03- Honorarios cons. administracao"</f>
        <v>3.1.1.00.03- Honorarios cons. administracao</v>
      </c>
      <c r="B141" s="9">
        <v>104889.66</v>
      </c>
      <c r="C141" s="9">
        <v>19630.88</v>
      </c>
      <c r="D141" s="9">
        <v>124520.54</v>
      </c>
    </row>
    <row r="142" spans="1:4" x14ac:dyDescent="0.25">
      <c r="A142" s="2" t="str">
        <f>"3.1.1.00.04- Salarios e adicionais"</f>
        <v>3.1.1.00.04- Salarios e adicionais</v>
      </c>
      <c r="B142" s="9">
        <v>48750971.969999999</v>
      </c>
      <c r="C142" s="9">
        <v>9837059.3399999999</v>
      </c>
      <c r="D142" s="9">
        <v>58588031.310000002</v>
      </c>
    </row>
    <row r="143" spans="1:4" x14ac:dyDescent="0.25">
      <c r="A143" s="2" t="str">
        <f>"3.1.1.00.05- Ferias e abono pecuniario"</f>
        <v>3.1.1.00.05- Ferias e abono pecuniario</v>
      </c>
      <c r="B143" s="9">
        <v>7640076.9199999999</v>
      </c>
      <c r="C143" s="9">
        <v>1106933.25</v>
      </c>
      <c r="D143" s="9">
        <v>8747010.1699999999</v>
      </c>
    </row>
    <row r="144" spans="1:4" x14ac:dyDescent="0.25">
      <c r="A144" s="2" t="str">
        <f>"3.1.1.00.06- Decimo terceiro salario"</f>
        <v>3.1.1.00.06- Decimo terceiro salario</v>
      </c>
      <c r="B144" s="9">
        <v>4399329.84</v>
      </c>
      <c r="C144" s="9">
        <v>836087.15</v>
      </c>
      <c r="D144" s="9">
        <v>5235416.99</v>
      </c>
    </row>
    <row r="145" spans="1:4" x14ac:dyDescent="0.25">
      <c r="A145" s="2" t="str">
        <f>"3.1.1.00.07- Indenizacoes trabalhistas"</f>
        <v>3.1.1.00.07- Indenizacoes trabalhistas</v>
      </c>
      <c r="B145" s="9">
        <v>431217.4</v>
      </c>
      <c r="C145" s="9">
        <v>89565.71</v>
      </c>
      <c r="D145" s="9">
        <v>520783.11</v>
      </c>
    </row>
    <row r="146" spans="1:4" x14ac:dyDescent="0.25">
      <c r="A146" s="2" t="str">
        <f>"3.1.1.00.08- Bolsas de estagiario"</f>
        <v>3.1.1.00.08- Bolsas de estagiario</v>
      </c>
      <c r="B146" s="9">
        <v>101206.52</v>
      </c>
      <c r="C146" s="9">
        <v>17466.009999999998</v>
      </c>
      <c r="D146" s="9">
        <v>118672.53</v>
      </c>
    </row>
    <row r="147" spans="1:4" x14ac:dyDescent="0.25">
      <c r="A147" s="2" t="str">
        <f>"3.1.2.01.00- ENCARGOS SOCIAIS"</f>
        <v>3.1.2.01.00- ENCARGOS SOCIAIS</v>
      </c>
      <c r="B147" s="9">
        <v>22391311.829999998</v>
      </c>
      <c r="C147" s="9">
        <v>4371783.59</v>
      </c>
      <c r="D147" s="9">
        <v>26763095.420000002</v>
      </c>
    </row>
    <row r="148" spans="1:4" x14ac:dyDescent="0.25">
      <c r="A148" s="2" t="str">
        <f>"3.1.2.01.01- INSS"</f>
        <v>3.1.2.01.01- INSS</v>
      </c>
      <c r="B148" s="9">
        <v>17543013.23</v>
      </c>
      <c r="C148" s="9">
        <v>3425475.02</v>
      </c>
      <c r="D148" s="9">
        <v>20968488.25</v>
      </c>
    </row>
    <row r="149" spans="1:4" x14ac:dyDescent="0.25">
      <c r="A149" s="2" t="str">
        <f>"3.1.2.01.02- FGTS"</f>
        <v>3.1.2.01.02- FGTS</v>
      </c>
      <c r="B149" s="9">
        <v>4848298.5999999996</v>
      </c>
      <c r="C149" s="9">
        <v>946308.57</v>
      </c>
      <c r="D149" s="9">
        <v>5794607.1699999999</v>
      </c>
    </row>
    <row r="150" spans="1:4" x14ac:dyDescent="0.25">
      <c r="A150" s="2" t="str">
        <f>"3.1.2.02.00- OUTRAS DESPESAS COM PESSOAL"</f>
        <v>3.1.2.02.00- OUTRAS DESPESAS COM PESSOAL</v>
      </c>
      <c r="B150" s="9">
        <v>13097419.9</v>
      </c>
      <c r="C150" s="9">
        <v>1676651.32</v>
      </c>
      <c r="D150" s="9">
        <v>14774071.220000001</v>
      </c>
    </row>
    <row r="151" spans="1:4" x14ac:dyDescent="0.25">
      <c r="A151" s="2" t="str">
        <f>"3.1.2.02.01- Seguros de Vida"</f>
        <v>3.1.2.02.01- Seguros de Vida</v>
      </c>
      <c r="B151" s="9">
        <v>49395.65</v>
      </c>
      <c r="C151" s="9">
        <v>-16012.95</v>
      </c>
      <c r="D151" s="9">
        <v>33382.699999999997</v>
      </c>
    </row>
    <row r="152" spans="1:4" x14ac:dyDescent="0.25">
      <c r="A152" s="2" t="str">
        <f>"3.1.2.02.02- Ass. Medica Odontologica"</f>
        <v>3.1.2.02.02- Ass. Medica Odontologica</v>
      </c>
      <c r="B152" s="9">
        <v>3762829.61</v>
      </c>
      <c r="C152" s="9">
        <v>-324389.90999999997</v>
      </c>
      <c r="D152" s="9">
        <v>3438439.7</v>
      </c>
    </row>
    <row r="153" spans="1:4" x14ac:dyDescent="0.25">
      <c r="A153" s="2" t="str">
        <f>"3.1.2.02.03- Vale Transporte"</f>
        <v>3.1.2.02.03- Vale Transporte</v>
      </c>
      <c r="B153" s="9">
        <v>383392.89</v>
      </c>
      <c r="C153" s="9">
        <v>80024.23</v>
      </c>
      <c r="D153" s="9">
        <v>463417.12</v>
      </c>
    </row>
    <row r="154" spans="1:4" x14ac:dyDescent="0.25">
      <c r="A154" s="2" t="str">
        <f>"3.1.2.02.04- Vale Refeicao/Alimentacao"</f>
        <v>3.1.2.02.04- Vale Refeicao/Alimentacao</v>
      </c>
      <c r="B154" s="9">
        <v>8746405.4800000004</v>
      </c>
      <c r="C154" s="9">
        <v>1910073.22</v>
      </c>
      <c r="D154" s="9">
        <v>10656478.699999999</v>
      </c>
    </row>
    <row r="155" spans="1:4" x14ac:dyDescent="0.25">
      <c r="A155" s="2" t="str">
        <f>"3.1.2.02.05- Compl. Auxilio Doenca"</f>
        <v>3.1.2.02.05- Compl. Auxilio Doenca</v>
      </c>
      <c r="B155" s="9">
        <v>85716.6</v>
      </c>
      <c r="C155" s="9">
        <v>12328.32</v>
      </c>
      <c r="D155" s="9">
        <v>98044.92</v>
      </c>
    </row>
    <row r="156" spans="1:4" x14ac:dyDescent="0.25">
      <c r="A156" s="2" t="str">
        <f>"3.1.2.02.07- Auxilio Creche"</f>
        <v>3.1.2.02.07- Auxilio Creche</v>
      </c>
      <c r="B156" s="9">
        <v>69679.67</v>
      </c>
      <c r="C156" s="9">
        <v>14628.41</v>
      </c>
      <c r="D156" s="9">
        <v>84308.08</v>
      </c>
    </row>
    <row r="157" spans="1:4" x14ac:dyDescent="0.25">
      <c r="A157" s="2" t="str">
        <f>"3.1.3.00.00- MATERIAIS"</f>
        <v>3.1.3.00.00- MATERIAIS</v>
      </c>
      <c r="B157" s="9">
        <v>341253.37</v>
      </c>
      <c r="C157" s="9">
        <v>31253.84</v>
      </c>
      <c r="D157" s="9">
        <v>372507.21</v>
      </c>
    </row>
    <row r="158" spans="1:4" x14ac:dyDescent="0.25">
      <c r="A158" s="2" t="str">
        <f>"3.1.3.00.01- Bens de natureza permanente"</f>
        <v>3.1.3.00.01- Bens de natureza permanente</v>
      </c>
      <c r="B158" s="9">
        <v>175180</v>
      </c>
      <c r="C158" s="9">
        <v>0</v>
      </c>
      <c r="D158" s="9">
        <v>175180</v>
      </c>
    </row>
    <row r="159" spans="1:4" x14ac:dyDescent="0.25">
      <c r="A159" s="2" t="str">
        <f>"3.1.3.00.08- Material seguranca e uniformes"</f>
        <v>3.1.3.00.08- Material seguranca e uniformes</v>
      </c>
      <c r="B159" s="9">
        <v>0</v>
      </c>
      <c r="C159" s="9">
        <v>551.29999999999995</v>
      </c>
      <c r="D159" s="9">
        <v>551.29999999999995</v>
      </c>
    </row>
    <row r="160" spans="1:4" x14ac:dyDescent="0.25">
      <c r="A160" s="2" t="str">
        <f>"3.1.3.00.09- Material limp/conserv/copa/cozin"</f>
        <v>3.1.3.00.09- Material limp/conserv/copa/cozin</v>
      </c>
      <c r="B160" s="9">
        <v>74937.649999999994</v>
      </c>
      <c r="C160" s="9">
        <v>16600.560000000001</v>
      </c>
      <c r="D160" s="9">
        <v>91538.21</v>
      </c>
    </row>
    <row r="161" spans="1:4" x14ac:dyDescent="0.25">
      <c r="A161" s="2" t="str">
        <f>"3.1.3.00.10- Impressos e material de escritorio"</f>
        <v>3.1.3.00.10- Impressos e material de escritorio</v>
      </c>
      <c r="B161" s="9">
        <v>26817</v>
      </c>
      <c r="C161" s="9">
        <v>3833.69</v>
      </c>
      <c r="D161" s="9">
        <v>30650.69</v>
      </c>
    </row>
    <row r="162" spans="1:4" x14ac:dyDescent="0.25">
      <c r="A162" s="2" t="str">
        <f>"3.1.3.00.11- Materiais manut. inst. prediais"</f>
        <v>3.1.3.00.11- Materiais manut. inst. prediais</v>
      </c>
      <c r="B162" s="9">
        <v>37533.730000000003</v>
      </c>
      <c r="C162" s="9">
        <v>10130.84</v>
      </c>
      <c r="D162" s="9">
        <v>47664.57</v>
      </c>
    </row>
    <row r="163" spans="1:4" x14ac:dyDescent="0.25">
      <c r="A163" s="2" t="str">
        <f>"3.1.3.00.15- Materiais e supriment informatic"</f>
        <v>3.1.3.00.15- Materiais e supriment informatic</v>
      </c>
      <c r="B163" s="9">
        <v>25466.15</v>
      </c>
      <c r="C163" s="9">
        <v>137.44999999999999</v>
      </c>
      <c r="D163" s="9">
        <v>25603.599999999999</v>
      </c>
    </row>
    <row r="164" spans="1:4" x14ac:dyDescent="0.25">
      <c r="A164" s="2" t="str">
        <f>"3.1.3.00.99- Outros materiais"</f>
        <v>3.1.3.00.99- Outros materiais</v>
      </c>
      <c r="B164" s="9">
        <v>1318.84</v>
      </c>
      <c r="C164" s="9">
        <v>0</v>
      </c>
      <c r="D164" s="9">
        <v>1318.84</v>
      </c>
    </row>
    <row r="165" spans="1:4" x14ac:dyDescent="0.25">
      <c r="A165" s="2" t="str">
        <f>"3.1.4.00.00- SERVICOS PRESTADOS POR TERCEIROS"</f>
        <v>3.1.4.00.00- SERVICOS PRESTADOS POR TERCEIROS</v>
      </c>
      <c r="B165" s="9">
        <v>25628701.68</v>
      </c>
      <c r="C165" s="9">
        <v>4157899.1</v>
      </c>
      <c r="D165" s="9">
        <v>29786600.780000001</v>
      </c>
    </row>
    <row r="166" spans="1:4" x14ac:dyDescent="0.25">
      <c r="A166" s="2" t="str">
        <f>"3.1.4.00.01- Consultoria"</f>
        <v>3.1.4.00.01- Consultoria</v>
      </c>
      <c r="B166" s="9">
        <v>14493.52</v>
      </c>
      <c r="C166" s="9">
        <v>958.8</v>
      </c>
      <c r="D166" s="9">
        <v>15452.32</v>
      </c>
    </row>
    <row r="167" spans="1:4" x14ac:dyDescent="0.25">
      <c r="A167" s="2" t="str">
        <f>"3.1.4.00.02- Locacao de veiculos"</f>
        <v>3.1.4.00.02- Locacao de veiculos</v>
      </c>
      <c r="B167" s="9">
        <v>33875.4</v>
      </c>
      <c r="C167" s="9">
        <v>6775.08</v>
      </c>
      <c r="D167" s="9">
        <v>40650.480000000003</v>
      </c>
    </row>
    <row r="168" spans="1:4" x14ac:dyDescent="0.25">
      <c r="A168" s="2" t="str">
        <f>"3.1.4.00.03- Locacao de equipamentos"</f>
        <v>3.1.4.00.03- Locacao de equipamentos</v>
      </c>
      <c r="B168" s="9">
        <v>27460.16</v>
      </c>
      <c r="C168" s="9">
        <v>3852.61</v>
      </c>
      <c r="D168" s="9">
        <v>31312.77</v>
      </c>
    </row>
    <row r="169" spans="1:4" x14ac:dyDescent="0.25">
      <c r="A169" s="2" t="str">
        <f>"3.1.4.00.08- Servicos de auditoria"</f>
        <v>3.1.4.00.08- Servicos de auditoria</v>
      </c>
      <c r="B169" s="9">
        <v>12200</v>
      </c>
      <c r="C169" s="9">
        <v>0</v>
      </c>
      <c r="D169" s="9">
        <v>12200</v>
      </c>
    </row>
    <row r="170" spans="1:4" x14ac:dyDescent="0.25">
      <c r="A170" s="2" t="str">
        <f>"3.1.4.00.10- Mao de obra contratada"</f>
        <v>3.1.4.00.10- Mao de obra contratada</v>
      </c>
      <c r="B170" s="9">
        <v>20873144.190000001</v>
      </c>
      <c r="C170" s="9">
        <v>3012053.34</v>
      </c>
      <c r="D170" s="9">
        <v>23885197.530000001</v>
      </c>
    </row>
    <row r="171" spans="1:4" x14ac:dyDescent="0.25">
      <c r="A171" s="2" t="str">
        <f>"3.1.4.00.13- Publicidade e divulgacao"</f>
        <v>3.1.4.00.13- Publicidade e divulgacao</v>
      </c>
      <c r="B171" s="9">
        <v>15804</v>
      </c>
      <c r="C171" s="9">
        <v>440</v>
      </c>
      <c r="D171" s="9">
        <v>16244</v>
      </c>
    </row>
    <row r="172" spans="1:4" x14ac:dyDescent="0.25">
      <c r="A172" s="2" t="str">
        <f>"3.1.4.00.14- Informatica-serv. e/ou locacao"</f>
        <v>3.1.4.00.14- Informatica-serv. e/ou locacao</v>
      </c>
      <c r="B172" s="9">
        <v>1475892.24</v>
      </c>
      <c r="C172" s="9">
        <v>218215.79</v>
      </c>
      <c r="D172" s="9">
        <v>1694108.03</v>
      </c>
    </row>
    <row r="173" spans="1:4" x14ac:dyDescent="0.25">
      <c r="A173" s="2" t="str">
        <f>"3.1.4.00.15- Outros serv. prestados - PF"</f>
        <v>3.1.4.00.15- Outros serv. prestados - PF</v>
      </c>
      <c r="B173" s="9">
        <v>113222.48</v>
      </c>
      <c r="C173" s="9">
        <v>22912.55</v>
      </c>
      <c r="D173" s="9">
        <v>136135.03</v>
      </c>
    </row>
    <row r="174" spans="1:4" x14ac:dyDescent="0.25">
      <c r="A174" s="2" t="str">
        <f>"3.1.4.00.16- Outros serv. Prestados - PJ"</f>
        <v>3.1.4.00.16- Outros serv. Prestados - PJ</v>
      </c>
      <c r="B174" s="9">
        <v>454685.06</v>
      </c>
      <c r="C174" s="9">
        <v>135626.38</v>
      </c>
      <c r="D174" s="9">
        <v>590311.43999999994</v>
      </c>
    </row>
    <row r="175" spans="1:4" x14ac:dyDescent="0.25">
      <c r="A175" s="2" t="str">
        <f>"3.1.4.00.17- Servicos postais"</f>
        <v>3.1.4.00.17- Servicos postais</v>
      </c>
      <c r="B175" s="9">
        <v>40838.93</v>
      </c>
      <c r="C175" s="9">
        <v>8996.65</v>
      </c>
      <c r="D175" s="9">
        <v>49835.58</v>
      </c>
    </row>
    <row r="176" spans="1:4" x14ac:dyDescent="0.25">
      <c r="A176" s="2" t="str">
        <f>"3.1.4.00.19- Manut. imoveis/instal/equip.oper"</f>
        <v>3.1.4.00.19- Manut. imoveis/instal/equip.oper</v>
      </c>
      <c r="B176" s="9">
        <v>88794.7</v>
      </c>
      <c r="C176" s="9">
        <v>3443.96</v>
      </c>
      <c r="D176" s="9">
        <v>92238.66</v>
      </c>
    </row>
    <row r="177" spans="1:4" x14ac:dyDescent="0.25">
      <c r="A177" s="2" t="str">
        <f>"3.1.4.00.26- Serv.limp.conserv."</f>
        <v>3.1.4.00.26- Serv.limp.conserv.</v>
      </c>
      <c r="B177" s="9">
        <v>1473574.27</v>
      </c>
      <c r="C177" s="9">
        <v>418092.32</v>
      </c>
      <c r="D177" s="9">
        <v>1891666.59</v>
      </c>
    </row>
    <row r="178" spans="1:4" x14ac:dyDescent="0.25">
      <c r="A178" s="2" t="str">
        <f>"3.1.4.00.32- Vale transporte"</f>
        <v>3.1.4.00.32- Vale transporte</v>
      </c>
      <c r="B178" s="9">
        <v>36910.65</v>
      </c>
      <c r="C178" s="9">
        <v>39439.97</v>
      </c>
      <c r="D178" s="9">
        <v>76350.62</v>
      </c>
    </row>
    <row r="179" spans="1:4" x14ac:dyDescent="0.25">
      <c r="A179" s="2" t="str">
        <f>"3.1.4.00.33- Vale Ref./Al.terceir."</f>
        <v>3.1.4.00.33- Vale Ref./Al.terceir.</v>
      </c>
      <c r="B179" s="9">
        <v>278641.71000000002</v>
      </c>
      <c r="C179" s="9">
        <v>89279.59</v>
      </c>
      <c r="D179" s="9">
        <v>367921.3</v>
      </c>
    </row>
    <row r="180" spans="1:4" x14ac:dyDescent="0.25">
      <c r="A180" s="2" t="str">
        <f>"3.1.4.00.36- (-) Desconto ISSQN conf Lei 9145 serv. P"</f>
        <v>3.1.4.00.36- (-) Desconto ISSQN conf Lei 9145 serv. P</v>
      </c>
      <c r="B180" s="9">
        <v>-5019.17</v>
      </c>
      <c r="C180" s="9">
        <v>0</v>
      </c>
      <c r="D180" s="9">
        <v>-5019.17</v>
      </c>
    </row>
    <row r="181" spans="1:4" x14ac:dyDescent="0.25">
      <c r="A181" s="2" t="str">
        <f>"3.1.4.00.39- Convênio Guarda Municipal"</f>
        <v>3.1.4.00.39- Convênio Guarda Municipal</v>
      </c>
      <c r="B181" s="9">
        <v>694183.54</v>
      </c>
      <c r="C181" s="9">
        <v>197812.06</v>
      </c>
      <c r="D181" s="9">
        <v>891995.6</v>
      </c>
    </row>
    <row r="182" spans="1:4" x14ac:dyDescent="0.25">
      <c r="A182" s="2" t="str">
        <f>"3.1.5.00.00- TARIFAS PUBLICAS"</f>
        <v>3.1.5.00.00- TARIFAS PUBLICAS</v>
      </c>
      <c r="B182" s="9">
        <v>657990.06999999995</v>
      </c>
      <c r="C182" s="9">
        <v>84563.81</v>
      </c>
      <c r="D182" s="9">
        <v>742553.88</v>
      </c>
    </row>
    <row r="183" spans="1:4" x14ac:dyDescent="0.25">
      <c r="A183" s="2" t="str">
        <f>"3.1.5.00.02- Energia eletrica"</f>
        <v>3.1.5.00.02- Energia eletrica</v>
      </c>
      <c r="B183" s="9">
        <v>2763.7</v>
      </c>
      <c r="C183" s="9">
        <v>0</v>
      </c>
      <c r="D183" s="9">
        <v>2763.7</v>
      </c>
    </row>
    <row r="184" spans="1:4" x14ac:dyDescent="0.25">
      <c r="A184" s="2" t="str">
        <f>"3.1.5.00.03- Telefone"</f>
        <v>3.1.5.00.03- Telefone</v>
      </c>
      <c r="B184" s="9">
        <v>234028.09</v>
      </c>
      <c r="C184" s="9">
        <v>2099.27</v>
      </c>
      <c r="D184" s="9">
        <v>236127.35999999999</v>
      </c>
    </row>
    <row r="185" spans="1:4" x14ac:dyDescent="0.25">
      <c r="A185" s="2" t="str">
        <f>"3.1.5.00.04- Copasa/FMS"</f>
        <v>3.1.5.00.04- Copasa/FMS</v>
      </c>
      <c r="B185" s="9">
        <v>421198.28</v>
      </c>
      <c r="C185" s="9">
        <v>82464.539999999994</v>
      </c>
      <c r="D185" s="9">
        <v>503662.82</v>
      </c>
    </row>
    <row r="186" spans="1:4" x14ac:dyDescent="0.25">
      <c r="A186" s="2" t="str">
        <f>"3.1.6.00.00- DESPESAS TRIBUTARIAS"</f>
        <v>3.1.6.00.00- DESPESAS TRIBUTARIAS</v>
      </c>
      <c r="B186" s="9">
        <v>1667641.93</v>
      </c>
      <c r="C186" s="9">
        <v>325604.78000000003</v>
      </c>
      <c r="D186" s="9">
        <v>1993246.71</v>
      </c>
    </row>
    <row r="187" spans="1:4" x14ac:dyDescent="0.25">
      <c r="A187" s="2" t="str">
        <f>"3.1.6.00.01- Taxas legais"</f>
        <v>3.1.6.00.01- Taxas legais</v>
      </c>
      <c r="B187" s="9">
        <v>28969.24</v>
      </c>
      <c r="C187" s="9">
        <v>0</v>
      </c>
      <c r="D187" s="9">
        <v>28969.24</v>
      </c>
    </row>
    <row r="188" spans="1:4" x14ac:dyDescent="0.25">
      <c r="A188" s="2" t="str">
        <f>"3.1.6.00.03- IOF"</f>
        <v>3.1.6.00.03- IOF</v>
      </c>
      <c r="B188" s="9">
        <v>23393.61</v>
      </c>
      <c r="C188" s="9">
        <v>6029.6</v>
      </c>
      <c r="D188" s="9">
        <v>29423.21</v>
      </c>
    </row>
    <row r="189" spans="1:4" x14ac:dyDescent="0.25">
      <c r="A189" s="2" t="str">
        <f>"3.1.6.00.05- Contrib. Social s/lucro liquido"</f>
        <v>3.1.6.00.05- Contrib. Social s/lucro liquido</v>
      </c>
      <c r="B189" s="9">
        <v>90299.12</v>
      </c>
      <c r="C189" s="9">
        <v>0</v>
      </c>
      <c r="D189" s="9">
        <v>90299.12</v>
      </c>
    </row>
    <row r="190" spans="1:4" x14ac:dyDescent="0.25">
      <c r="A190" s="2" t="str">
        <f>"3.1.6.00.06- PIS"</f>
        <v>3.1.6.00.06- PIS</v>
      </c>
      <c r="B190" s="9">
        <v>258988.83</v>
      </c>
      <c r="C190" s="9">
        <v>54540.24</v>
      </c>
      <c r="D190" s="9">
        <v>313529.07</v>
      </c>
    </row>
    <row r="191" spans="1:4" x14ac:dyDescent="0.25">
      <c r="A191" s="2" t="str">
        <f>"3.1.6.00.07- COFINS"</f>
        <v>3.1.6.00.07- COFINS</v>
      </c>
      <c r="B191" s="9">
        <v>1192918.22</v>
      </c>
      <c r="C191" s="9">
        <v>251215.66</v>
      </c>
      <c r="D191" s="9">
        <v>1444133.88</v>
      </c>
    </row>
    <row r="192" spans="1:4" x14ac:dyDescent="0.25">
      <c r="A192" s="2" t="str">
        <f>"3.1.6.00.08- Multas indedutiveis"</f>
        <v>3.1.6.00.08- Multas indedutiveis</v>
      </c>
      <c r="B192" s="9">
        <v>849.28</v>
      </c>
      <c r="C192" s="9">
        <v>0</v>
      </c>
      <c r="D192" s="9">
        <v>849.28</v>
      </c>
    </row>
    <row r="193" spans="1:4" x14ac:dyDescent="0.25">
      <c r="A193" s="2" t="str">
        <f>"3.1.6.00.14- Contrib.entid.classe"</f>
        <v>3.1.6.00.14- Contrib.entid.classe</v>
      </c>
      <c r="B193" s="9">
        <v>5876.71</v>
      </c>
      <c r="C193" s="9">
        <v>108.39</v>
      </c>
      <c r="D193" s="9">
        <v>5985.1</v>
      </c>
    </row>
    <row r="194" spans="1:4" x14ac:dyDescent="0.25">
      <c r="A194" s="2" t="str">
        <f>"3.1.6.00.15- INSS Serv.terceiros"</f>
        <v>3.1.6.00.15- INSS Serv.terceiros</v>
      </c>
      <c r="B194" s="9">
        <v>22738.58</v>
      </c>
      <c r="C194" s="9">
        <v>4582.51</v>
      </c>
      <c r="D194" s="9">
        <v>27321.09</v>
      </c>
    </row>
    <row r="195" spans="1:4" x14ac:dyDescent="0.25">
      <c r="A195" s="2" t="str">
        <f>"3.1.6.00.17- PIS s/ receitas financeiras"</f>
        <v>3.1.6.00.17- PIS s/ receitas financeiras</v>
      </c>
      <c r="B195" s="9">
        <v>6095.79</v>
      </c>
      <c r="C195" s="9">
        <v>1276.01</v>
      </c>
      <c r="D195" s="9">
        <v>7371.8</v>
      </c>
    </row>
    <row r="196" spans="1:4" x14ac:dyDescent="0.25">
      <c r="A196" s="2" t="str">
        <f>"3.1.6.00.18- Cofins s/ receitas financeiras"</f>
        <v>3.1.6.00.18- Cofins s/ receitas financeiras</v>
      </c>
      <c r="B196" s="9">
        <v>37512.550000000003</v>
      </c>
      <c r="C196" s="9">
        <v>7852.37</v>
      </c>
      <c r="D196" s="9">
        <v>45364.92</v>
      </c>
    </row>
    <row r="197" spans="1:4" x14ac:dyDescent="0.25">
      <c r="A197" s="2" t="str">
        <f>"3.1.7.00.00- DESPESAS FINANCEIRAS"</f>
        <v>3.1.7.00.00- DESPESAS FINANCEIRAS</v>
      </c>
      <c r="B197" s="9">
        <v>2663.51</v>
      </c>
      <c r="C197" s="9">
        <v>169.91</v>
      </c>
      <c r="D197" s="9">
        <v>2833.42</v>
      </c>
    </row>
    <row r="198" spans="1:4" x14ac:dyDescent="0.25">
      <c r="A198" s="2" t="str">
        <f>"3.1.7.01.01- Juros passivos curto prazo"</f>
        <v>3.1.7.01.01- Juros passivos curto prazo</v>
      </c>
      <c r="B198" s="9">
        <v>1873.7</v>
      </c>
      <c r="C198" s="9">
        <v>0</v>
      </c>
      <c r="D198" s="9">
        <v>1873.7</v>
      </c>
    </row>
    <row r="199" spans="1:4" x14ac:dyDescent="0.25">
      <c r="A199" s="2" t="str">
        <f>"3.1.7.01.02- Despesas bancarias"</f>
        <v>3.1.7.01.02- Despesas bancarias</v>
      </c>
      <c r="B199" s="9">
        <v>789.81</v>
      </c>
      <c r="C199" s="9">
        <v>169.91</v>
      </c>
      <c r="D199" s="9">
        <v>959.72</v>
      </c>
    </row>
    <row r="200" spans="1:4" x14ac:dyDescent="0.25">
      <c r="A200" s="2" t="str">
        <f>"3.1.8.00.00- OUTRAS DESPESAS"</f>
        <v>3.1.8.00.00- OUTRAS DESPESAS</v>
      </c>
      <c r="B200" s="9">
        <v>2252130.56</v>
      </c>
      <c r="C200" s="9">
        <v>839372.65</v>
      </c>
      <c r="D200" s="9">
        <v>3091503.21</v>
      </c>
    </row>
    <row r="201" spans="1:4" x14ac:dyDescent="0.25">
      <c r="A201" s="2" t="str">
        <f>"3.1.8.00.01- Despesas de viagem"</f>
        <v>3.1.8.00.01- Despesas de viagem</v>
      </c>
      <c r="B201" s="9">
        <v>13362.86</v>
      </c>
      <c r="C201" s="9">
        <v>6531.18</v>
      </c>
      <c r="D201" s="9">
        <v>19894.04</v>
      </c>
    </row>
    <row r="202" spans="1:4" x14ac:dyDescent="0.25">
      <c r="A202" s="2" t="str">
        <f>"3.1.8.00.05- Depreciacao/amort"</f>
        <v>3.1.8.00.05- Depreciacao/amort</v>
      </c>
      <c r="B202" s="9">
        <v>120338.19</v>
      </c>
      <c r="C202" s="9">
        <v>15045.44</v>
      </c>
      <c r="D202" s="9">
        <v>135383.63</v>
      </c>
    </row>
    <row r="203" spans="1:4" x14ac:dyDescent="0.25">
      <c r="A203" s="2" t="str">
        <f>"3.1.8.00.06- Seguros bens moveis e imoveis"</f>
        <v>3.1.8.00.06- Seguros bens moveis e imoveis</v>
      </c>
      <c r="B203" s="9">
        <v>12086.56</v>
      </c>
      <c r="C203" s="9">
        <v>2323.11</v>
      </c>
      <c r="D203" s="9">
        <v>14409.67</v>
      </c>
    </row>
    <row r="204" spans="1:4" x14ac:dyDescent="0.25">
      <c r="A204" s="2" t="str">
        <f>"3.1.8.00.12- Acoes judiciais terceiros"</f>
        <v>3.1.8.00.12- Acoes judiciais terceiros</v>
      </c>
      <c r="B204" s="9">
        <v>12749.97</v>
      </c>
      <c r="C204" s="9">
        <v>0</v>
      </c>
      <c r="D204" s="9">
        <v>12749.97</v>
      </c>
    </row>
    <row r="205" spans="1:4" x14ac:dyDescent="0.25">
      <c r="A205" s="2" t="str">
        <f>"3.1.8.00.16- Baixa de imobilizado"</f>
        <v>3.1.8.00.16- Baixa de imobilizado</v>
      </c>
      <c r="B205" s="9">
        <v>103734.39</v>
      </c>
      <c r="C205" s="9">
        <v>0</v>
      </c>
      <c r="D205" s="9">
        <v>103734.39</v>
      </c>
    </row>
    <row r="206" spans="1:4" x14ac:dyDescent="0.25">
      <c r="A206" s="2" t="str">
        <f>"3.1.8.00.19- Premios do concurso de video"</f>
        <v>3.1.8.00.19- Premios do concurso de video</v>
      </c>
      <c r="B206" s="9">
        <v>12000</v>
      </c>
      <c r="C206" s="9">
        <v>0</v>
      </c>
      <c r="D206" s="9">
        <v>12000</v>
      </c>
    </row>
    <row r="207" spans="1:4" x14ac:dyDescent="0.25">
      <c r="A207" s="2" t="str">
        <f>"3.1.8.00.21- Perdas no recebimento de credito"</f>
        <v>3.1.8.00.21- Perdas no recebimento de credito</v>
      </c>
      <c r="B207" s="9">
        <v>22054.71</v>
      </c>
      <c r="C207" s="9">
        <v>0</v>
      </c>
      <c r="D207" s="9">
        <v>22054.71</v>
      </c>
    </row>
    <row r="208" spans="1:4" x14ac:dyDescent="0.25">
      <c r="A208" s="2" t="str">
        <f>"3.1.8.00.23- Custas/Despesas Judiciais"</f>
        <v>3.1.8.00.23- Custas/Despesas Judiciais</v>
      </c>
      <c r="B208" s="9">
        <v>53425.17</v>
      </c>
      <c r="C208" s="9">
        <v>8622.01</v>
      </c>
      <c r="D208" s="9">
        <v>62047.18</v>
      </c>
    </row>
    <row r="209" spans="1:4" x14ac:dyDescent="0.25">
      <c r="A209" s="2" t="str">
        <f>"3.1.8.00.30- Estacionamento Rotativo Digital"</f>
        <v>3.1.8.00.30- Estacionamento Rotativo Digital</v>
      </c>
      <c r="B209" s="9">
        <v>1873889.82</v>
      </c>
      <c r="C209" s="9">
        <v>805630.19</v>
      </c>
      <c r="D209" s="9">
        <v>2679520.0099999998</v>
      </c>
    </row>
    <row r="210" spans="1:4" x14ac:dyDescent="0.25">
      <c r="A210" s="2" t="str">
        <f>"3.1.8.00.99- Despesas diversas"</f>
        <v>3.1.8.00.99- Despesas diversas</v>
      </c>
      <c r="B210" s="9">
        <v>28488.89</v>
      </c>
      <c r="C210" s="9">
        <v>1220.72</v>
      </c>
      <c r="D210" s="9">
        <v>29709.61</v>
      </c>
    </row>
    <row r="211" spans="1:4" x14ac:dyDescent="0.25">
      <c r="A211" s="2" t="str">
        <f>""</f>
        <v/>
      </c>
      <c r="B211" s="3" t="str">
        <f>""</f>
        <v/>
      </c>
      <c r="C211" s="3" t="str">
        <f>""</f>
        <v/>
      </c>
      <c r="D211" s="3" t="str">
        <f>""</f>
        <v/>
      </c>
    </row>
    <row r="212" spans="1:4" x14ac:dyDescent="0.25">
      <c r="A212" s="2" t="str">
        <f>"RECEITAS"</f>
        <v>RECEITAS</v>
      </c>
      <c r="B212" s="3" t="str">
        <f>""</f>
        <v/>
      </c>
      <c r="C212" s="3" t="str">
        <f>""</f>
        <v/>
      </c>
      <c r="D212" s="3" t="str">
        <f>""</f>
        <v/>
      </c>
    </row>
    <row r="213" spans="1:4" x14ac:dyDescent="0.25">
      <c r="A213" s="2" t="str">
        <f>"4.0.0.00.00- RECEITAS"</f>
        <v>4.0.0.00.00- RECEITAS</v>
      </c>
      <c r="B213" s="9">
        <v>117641325.70999999</v>
      </c>
      <c r="C213" s="9">
        <v>25331195.309999999</v>
      </c>
      <c r="D213" s="9">
        <v>142972521.02000001</v>
      </c>
    </row>
    <row r="214" spans="1:4" x14ac:dyDescent="0.25">
      <c r="A214" s="2" t="str">
        <f>"4.1.0.00.00- RECEITAS BHTRANS"</f>
        <v>4.1.0.00.00- RECEITAS BHTRANS</v>
      </c>
      <c r="B214" s="9">
        <v>15287836.66</v>
      </c>
      <c r="C214" s="9">
        <v>3190437.92</v>
      </c>
      <c r="D214" s="9">
        <v>18478274.579999998</v>
      </c>
    </row>
    <row r="215" spans="1:4" x14ac:dyDescent="0.25">
      <c r="A215" s="2" t="str">
        <f>"4.1.1.00.00- RECEITAS OPERACIONAIS"</f>
        <v>4.1.1.00.00- RECEITAS OPERACIONAIS</v>
      </c>
      <c r="B215" s="9">
        <v>14429250</v>
      </c>
      <c r="C215" s="9">
        <v>3054150</v>
      </c>
      <c r="D215" s="9">
        <v>17483400</v>
      </c>
    </row>
    <row r="216" spans="1:4" x14ac:dyDescent="0.25">
      <c r="A216" s="2" t="str">
        <f>"4.1.1.00.21- Estacionamento Rotativo Digital"</f>
        <v>4.1.1.00.21- Estacionamento Rotativo Digital</v>
      </c>
      <c r="B216" s="9">
        <v>14429250</v>
      </c>
      <c r="C216" s="9">
        <v>3054150</v>
      </c>
      <c r="D216" s="9">
        <v>17483400</v>
      </c>
    </row>
    <row r="217" spans="1:4" x14ac:dyDescent="0.25">
      <c r="A217" s="2" t="str">
        <f>"4.1.8.00.00- RECEITAS ALUGUEIS ESTACOES"</f>
        <v>4.1.8.00.00- RECEITAS ALUGUEIS ESTACOES</v>
      </c>
      <c r="B217" s="9">
        <v>858586.66</v>
      </c>
      <c r="C217" s="9">
        <v>136287.92000000001</v>
      </c>
      <c r="D217" s="9">
        <v>994874.58</v>
      </c>
    </row>
    <row r="218" spans="1:4" x14ac:dyDescent="0.25">
      <c r="A218" s="2" t="str">
        <f>"4.1.8.00.01- Alugueis Estacoes"</f>
        <v>4.1.8.00.01- Alugueis Estacoes</v>
      </c>
      <c r="B218" s="9">
        <v>858586.66</v>
      </c>
      <c r="C218" s="9">
        <v>136287.92000000001</v>
      </c>
      <c r="D218" s="9">
        <v>994874.58</v>
      </c>
    </row>
    <row r="219" spans="1:4" x14ac:dyDescent="0.25">
      <c r="A219" s="2" t="str">
        <f>"4.2.0.00.00- RECEITAS FINANCEIRAS"</f>
        <v>4.2.0.00.00- RECEITAS FINANCEIRAS</v>
      </c>
      <c r="B219" s="9">
        <v>937813.64</v>
      </c>
      <c r="C219" s="9">
        <v>196309.3</v>
      </c>
      <c r="D219" s="9">
        <v>1134122.94</v>
      </c>
    </row>
    <row r="220" spans="1:4" x14ac:dyDescent="0.25">
      <c r="A220" s="2" t="str">
        <f>"4.2.1.00.00- RECEITAS FINANCEIRAS"</f>
        <v>4.2.1.00.00- RECEITAS FINANCEIRAS</v>
      </c>
      <c r="B220" s="9">
        <v>937813.64</v>
      </c>
      <c r="C220" s="9">
        <v>196309.3</v>
      </c>
      <c r="D220" s="9">
        <v>1134122.94</v>
      </c>
    </row>
    <row r="221" spans="1:4" x14ac:dyDescent="0.25">
      <c r="A221" s="2" t="str">
        <f>"4.2.1.00.01- Rendimentos aplic. Financeira"</f>
        <v>4.2.1.00.01- Rendimentos aplic. Financeira</v>
      </c>
      <c r="B221" s="9">
        <v>936502.52</v>
      </c>
      <c r="C221" s="9">
        <v>196309.3</v>
      </c>
      <c r="D221" s="9">
        <v>1132811.82</v>
      </c>
    </row>
    <row r="222" spans="1:4" x14ac:dyDescent="0.25">
      <c r="A222" s="2" t="str">
        <f>"4.2.1.00.05- Receitas Financeiras"</f>
        <v>4.2.1.00.05- Receitas Financeiras</v>
      </c>
      <c r="B222" s="9">
        <v>1311.12</v>
      </c>
      <c r="C222" s="9">
        <v>0</v>
      </c>
      <c r="D222" s="9">
        <v>1311.12</v>
      </c>
    </row>
    <row r="223" spans="1:4" x14ac:dyDescent="0.25">
      <c r="A223" s="2" t="str">
        <f>"4.3.0.00.00- OUTRAS RECEITAS"</f>
        <v>4.3.0.00.00- OUTRAS RECEITAS</v>
      </c>
      <c r="B223" s="9">
        <v>101415675.41</v>
      </c>
      <c r="C223" s="9">
        <v>21944448.09</v>
      </c>
      <c r="D223" s="9">
        <v>123360123.5</v>
      </c>
    </row>
    <row r="224" spans="1:4" x14ac:dyDescent="0.25">
      <c r="A224" s="2" t="str">
        <f>"4.3.1.00.00- OUTRAS RECEITAS"</f>
        <v>4.3.1.00.00- OUTRAS RECEITAS</v>
      </c>
      <c r="B224" s="9">
        <v>101415675.41</v>
      </c>
      <c r="C224" s="9">
        <v>21944448.09</v>
      </c>
      <c r="D224" s="9">
        <v>123360123.5</v>
      </c>
    </row>
    <row r="225" spans="1:4" x14ac:dyDescent="0.25">
      <c r="A225" s="2" t="str">
        <f>"4.3.1.00.04- Receitas Diversas"</f>
        <v>4.3.1.00.04- Receitas Diversas</v>
      </c>
      <c r="B225" s="9">
        <v>408455.76</v>
      </c>
      <c r="C225" s="9">
        <v>115031.35</v>
      </c>
      <c r="D225" s="9">
        <v>523487.11</v>
      </c>
    </row>
    <row r="226" spans="1:4" x14ac:dyDescent="0.25">
      <c r="A226" s="2" t="str">
        <f>"4.3.1.00.10- Outras Receitas- Subvenção Econ. Custeio"</f>
        <v>4.3.1.00.10- Outras Receitas- Subvenção Econ. Custeio</v>
      </c>
      <c r="B226" s="9">
        <v>101007219.65000001</v>
      </c>
      <c r="C226" s="9">
        <v>21829416.739999998</v>
      </c>
      <c r="D226" s="9">
        <v>122836636.39</v>
      </c>
    </row>
    <row r="227" spans="1:4" x14ac:dyDescent="0.25">
      <c r="A227" s="2" t="str">
        <f>""</f>
        <v/>
      </c>
      <c r="B227" s="3" t="str">
        <f>""</f>
        <v/>
      </c>
      <c r="C227" s="3" t="str">
        <f>""</f>
        <v/>
      </c>
      <c r="D227" s="3" t="str">
        <f>""</f>
        <v/>
      </c>
    </row>
    <row r="228" spans="1:4" x14ac:dyDescent="0.25">
      <c r="A228" s="2" t="str">
        <f>"APURACAO DE RESULTADOS"</f>
        <v>APURACAO DE RESULTADOS</v>
      </c>
      <c r="B228" s="3" t="str">
        <f>""</f>
        <v/>
      </c>
      <c r="C228" s="3" t="str">
        <f>""</f>
        <v/>
      </c>
      <c r="D228" s="3" t="str">
        <f>""</f>
        <v/>
      </c>
    </row>
    <row r="229" spans="1:4" x14ac:dyDescent="0.25">
      <c r="A229" s="2" t="str">
        <f>"5.0.0.00.00- APURACAO DE RESULTADOS"</f>
        <v>5.0.0.00.00- APURACAO DE RESULTADOS</v>
      </c>
      <c r="B229" s="9">
        <v>-10223306.529999999</v>
      </c>
      <c r="C229" s="9">
        <v>1887268.91</v>
      </c>
      <c r="D229" s="9">
        <v>-8336037.6200000001</v>
      </c>
    </row>
    <row r="230" spans="1:4" x14ac:dyDescent="0.25">
      <c r="A230" s="2" t="str">
        <f>"5.1.0.00.00- APURACAO DE RESULTADOS"</f>
        <v>5.1.0.00.00- APURACAO DE RESULTADOS</v>
      </c>
      <c r="B230" s="9">
        <v>-10223306.529999999</v>
      </c>
      <c r="C230" s="9">
        <v>1887268.91</v>
      </c>
      <c r="D230" s="9">
        <v>-8336037.6200000001</v>
      </c>
    </row>
    <row r="231" spans="1:4" x14ac:dyDescent="0.25">
      <c r="A231" s="2" t="str">
        <f>"5.1.1.00.00- APURACAO DE RESULTADOS"</f>
        <v>5.1.1.00.00- APURACAO DE RESULTADOS</v>
      </c>
      <c r="B231" s="9">
        <v>-10223306.529999999</v>
      </c>
      <c r="C231" s="9">
        <v>1887268.91</v>
      </c>
      <c r="D231" s="9">
        <v>-8336037.6200000001</v>
      </c>
    </row>
    <row r="232" spans="1:4" x14ac:dyDescent="0.25">
      <c r="A232" s="2" t="str">
        <f>"5.1.1.00.01- Transferencia das Despesas"</f>
        <v>5.1.1.00.01- Transferencia das Despesas</v>
      </c>
      <c r="B232" s="9">
        <v>-127864632.23999999</v>
      </c>
      <c r="C232" s="9">
        <v>-23443926.399999999</v>
      </c>
      <c r="D232" s="9">
        <v>-151308558.63999999</v>
      </c>
    </row>
    <row r="233" spans="1:4" ht="15.75" thickBot="1" x14ac:dyDescent="0.3">
      <c r="A233" s="4" t="str">
        <f>"5.1.1.00.02- Transferencia das Receitas"</f>
        <v>5.1.1.00.02- Transferencia das Receitas</v>
      </c>
      <c r="B233" s="10">
        <v>117641325.70999999</v>
      </c>
      <c r="C233" s="10">
        <v>25331195.309999999</v>
      </c>
      <c r="D233" s="10">
        <v>142972521.02000001</v>
      </c>
    </row>
    <row r="234" spans="1:4" x14ac:dyDescent="0.25">
      <c r="A234" t="s">
        <v>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01-2026</vt:lpstr>
      <vt:lpstr>02-2026</vt:lpstr>
      <vt:lpstr>03-2026</vt:lpstr>
      <vt:lpstr>04-2026</vt:lpstr>
      <vt:lpstr>05-2026</vt:lpstr>
      <vt:lpstr>06-2026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NERY SCHWARCZ BT002091</dc:creator>
  <cp:lastModifiedBy>DEBORA NERY SCHWARCZ BT002091</cp:lastModifiedBy>
  <dcterms:created xsi:type="dcterms:W3CDTF">2025-02-20T13:32:08Z</dcterms:created>
  <dcterms:modified xsi:type="dcterms:W3CDTF">2026-07-14T18:38:34Z</dcterms:modified>
</cp:coreProperties>
</file>