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alladolid\backups\GECON\BALANCETES DATASUL\BALANCETES - PARA PUBLICAR NO SITE\"/>
    </mc:Choice>
  </mc:AlternateContent>
  <xr:revisionPtr revIDLastSave="0" documentId="13_ncr:1_{C8141BF6-5232-4B33-9EA8-5DE521531637}" xr6:coauthVersionLast="36" xr6:coauthVersionMax="36" xr10:uidLastSave="{00000000-0000-0000-0000-000000000000}"/>
  <bookViews>
    <workbookView xWindow="0" yWindow="0" windowWidth="28800" windowHeight="13776" activeTab="5" xr2:uid="{00000000-000D-0000-FFFF-FFFF00000000}"/>
  </bookViews>
  <sheets>
    <sheet name="01-2025" sheetId="1" r:id="rId1"/>
    <sheet name="02-2025" sheetId="2" r:id="rId2"/>
    <sheet name="03-2025" sheetId="3" r:id="rId3"/>
    <sheet name="04-2025" sheetId="4" r:id="rId4"/>
    <sheet name="05-2025" sheetId="5" r:id="rId5"/>
    <sheet name="06-2025" sheetId="6" r:id="rId6"/>
  </sheets>
  <calcPr calcId="191029"/>
</workbook>
</file>

<file path=xl/calcChain.xml><?xml version="1.0" encoding="utf-8"?>
<calcChain xmlns="http://schemas.openxmlformats.org/spreadsheetml/2006/main">
  <c r="A245" i="6" l="1"/>
  <c r="A244" i="6"/>
  <c r="A243" i="6"/>
  <c r="A242" i="6"/>
  <c r="A241" i="6"/>
  <c r="D240" i="6"/>
  <c r="C240" i="6"/>
  <c r="B240" i="6"/>
  <c r="A240" i="6"/>
  <c r="D239" i="6"/>
  <c r="C239" i="6"/>
  <c r="B239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D223" i="6"/>
  <c r="C223" i="6"/>
  <c r="B223" i="6"/>
  <c r="A223" i="6"/>
  <c r="D222" i="6"/>
  <c r="C222" i="6"/>
  <c r="B222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D143" i="6"/>
  <c r="C143" i="6"/>
  <c r="B143" i="6"/>
  <c r="A143" i="6"/>
  <c r="D142" i="6"/>
  <c r="C142" i="6"/>
  <c r="B142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D79" i="6"/>
  <c r="C79" i="6"/>
  <c r="B79" i="6"/>
  <c r="A79" i="6"/>
  <c r="D78" i="6"/>
  <c r="C78" i="6"/>
  <c r="B78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D3" i="6"/>
  <c r="C3" i="6"/>
  <c r="B3" i="6"/>
  <c r="A3" i="6"/>
  <c r="A243" i="5" l="1"/>
  <c r="A242" i="5"/>
  <c r="A241" i="5"/>
  <c r="A240" i="5"/>
  <c r="A239" i="5"/>
  <c r="D238" i="5"/>
  <c r="C238" i="5"/>
  <c r="B238" i="5"/>
  <c r="A238" i="5"/>
  <c r="D237" i="5"/>
  <c r="C237" i="5"/>
  <c r="B237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D221" i="5"/>
  <c r="C221" i="5"/>
  <c r="B221" i="5"/>
  <c r="A221" i="5"/>
  <c r="D220" i="5"/>
  <c r="C220" i="5"/>
  <c r="B220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D143" i="5"/>
  <c r="C143" i="5"/>
  <c r="B143" i="5"/>
  <c r="A143" i="5"/>
  <c r="D142" i="5"/>
  <c r="C142" i="5"/>
  <c r="B142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D80" i="5"/>
  <c r="C80" i="5"/>
  <c r="B80" i="5"/>
  <c r="A80" i="5"/>
  <c r="D79" i="5"/>
  <c r="C79" i="5"/>
  <c r="B79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D3" i="5"/>
  <c r="C3" i="5"/>
  <c r="B3" i="5"/>
  <c r="A3" i="5"/>
  <c r="A239" i="4" l="1"/>
  <c r="A238" i="4"/>
  <c r="A237" i="4"/>
  <c r="A236" i="4"/>
  <c r="A235" i="4"/>
  <c r="D234" i="4"/>
  <c r="C234" i="4"/>
  <c r="B234" i="4"/>
  <c r="A234" i="4"/>
  <c r="D233" i="4"/>
  <c r="C233" i="4"/>
  <c r="B233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D217" i="4"/>
  <c r="C217" i="4"/>
  <c r="B217" i="4"/>
  <c r="A217" i="4"/>
  <c r="D216" i="4"/>
  <c r="C216" i="4"/>
  <c r="B216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D141" i="4"/>
  <c r="C141" i="4"/>
  <c r="B141" i="4"/>
  <c r="A141" i="4"/>
  <c r="D140" i="4"/>
  <c r="C140" i="4"/>
  <c r="B140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D80" i="4"/>
  <c r="C80" i="4"/>
  <c r="B80" i="4"/>
  <c r="A80" i="4"/>
  <c r="D79" i="4"/>
  <c r="C79" i="4"/>
  <c r="B79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D3" i="4"/>
  <c r="C3" i="4"/>
  <c r="B3" i="4"/>
  <c r="A3" i="4"/>
  <c r="A232" i="3" l="1"/>
  <c r="A231" i="3"/>
  <c r="A230" i="3"/>
  <c r="A229" i="3"/>
  <c r="A228" i="3"/>
  <c r="D227" i="3"/>
  <c r="C227" i="3"/>
  <c r="B227" i="3"/>
  <c r="A227" i="3"/>
  <c r="D226" i="3"/>
  <c r="C226" i="3"/>
  <c r="B226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D211" i="3"/>
  <c r="C211" i="3"/>
  <c r="B211" i="3"/>
  <c r="A211" i="3"/>
  <c r="D210" i="3"/>
  <c r="C210" i="3"/>
  <c r="B210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D138" i="3"/>
  <c r="C138" i="3"/>
  <c r="B138" i="3"/>
  <c r="A138" i="3"/>
  <c r="D137" i="3"/>
  <c r="C137" i="3"/>
  <c r="B137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D78" i="3"/>
  <c r="C78" i="3"/>
  <c r="B78" i="3"/>
  <c r="A78" i="3"/>
  <c r="D77" i="3"/>
  <c r="C77" i="3"/>
  <c r="B77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D3" i="3"/>
  <c r="C3" i="3"/>
  <c r="B3" i="3"/>
  <c r="A3" i="3"/>
  <c r="A230" i="2" l="1"/>
  <c r="A229" i="2"/>
  <c r="A228" i="2"/>
  <c r="A227" i="2"/>
  <c r="A226" i="2"/>
  <c r="D225" i="2"/>
  <c r="C225" i="2"/>
  <c r="B225" i="2"/>
  <c r="A225" i="2"/>
  <c r="D224" i="2"/>
  <c r="C224" i="2"/>
  <c r="B224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D209" i="2"/>
  <c r="C209" i="2"/>
  <c r="B209" i="2"/>
  <c r="A209" i="2"/>
  <c r="D208" i="2"/>
  <c r="C208" i="2"/>
  <c r="B208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D141" i="2"/>
  <c r="C141" i="2"/>
  <c r="B141" i="2"/>
  <c r="A141" i="2"/>
  <c r="D140" i="2"/>
  <c r="C140" i="2"/>
  <c r="B140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D80" i="2"/>
  <c r="C80" i="2"/>
  <c r="B80" i="2"/>
  <c r="A80" i="2"/>
  <c r="D79" i="2"/>
  <c r="C79" i="2"/>
  <c r="B79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D3" i="2"/>
  <c r="C3" i="2"/>
  <c r="B3" i="2"/>
  <c r="A3" i="2"/>
  <c r="A224" i="1" l="1"/>
  <c r="A223" i="1"/>
  <c r="A222" i="1"/>
  <c r="A221" i="1"/>
  <c r="A220" i="1"/>
  <c r="D219" i="1"/>
  <c r="C219" i="1"/>
  <c r="B219" i="1"/>
  <c r="A219" i="1"/>
  <c r="D218" i="1"/>
  <c r="C218" i="1"/>
  <c r="B218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D203" i="1"/>
  <c r="C203" i="1"/>
  <c r="B203" i="1"/>
  <c r="A203" i="1"/>
  <c r="D202" i="1"/>
  <c r="C202" i="1"/>
  <c r="B202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D141" i="1"/>
  <c r="C141" i="1"/>
  <c r="B141" i="1"/>
  <c r="A141" i="1"/>
  <c r="D140" i="1"/>
  <c r="C140" i="1"/>
  <c r="B140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D79" i="1"/>
  <c r="C79" i="1"/>
  <c r="B79" i="1"/>
  <c r="A79" i="1"/>
  <c r="D78" i="1"/>
  <c r="C78" i="1"/>
  <c r="B78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D3" i="1"/>
  <c r="C3" i="1"/>
  <c r="B3" i="1"/>
  <c r="A3" i="1"/>
</calcChain>
</file>

<file path=xl/sharedStrings.xml><?xml version="1.0" encoding="utf-8"?>
<sst xmlns="http://schemas.openxmlformats.org/spreadsheetml/2006/main" count="36" uniqueCount="11">
  <si>
    <t>Balancete Analitico                                                        Período de Referência: 01/2025</t>
  </si>
  <si>
    <t>Descricao!</t>
  </si>
  <si>
    <t>Saldo Inicial!R$</t>
  </si>
  <si>
    <t>Movimento!R$</t>
  </si>
  <si>
    <t>Saldo Final!R$</t>
  </si>
  <si>
    <t xml:space="preserve"> </t>
  </si>
  <si>
    <t>Balancete Analitico                                                        Período de Referência: 02/2025</t>
  </si>
  <si>
    <t>Balancete Analitico                                                        Período de Referência: 03/2025</t>
  </si>
  <si>
    <t>Balancete Analitico                                                        Período de Referência: 04/2025</t>
  </si>
  <si>
    <t>Balancete Analitico                                                        Período de Referência: 05/2025</t>
  </si>
  <si>
    <t>Balancete Analitico                                                        Período de Referência: 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</si>
</sst>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33" borderId="0" xfId="0" applyFont="1" applyFill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16" fillId="34" borderId="10" xfId="0" applyFont="1" applyFill="1" applyBorder="1"/>
    <xf numFmtId="0" fontId="16" fillId="34" borderId="17" xfId="0" applyFont="1" applyFill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35" borderId="12" xfId="0" applyNumberFormat="1" applyFill="1" applyBorder="1"/>
    <xf numFmtId="0" fontId="0" fillId="35" borderId="0" xfId="0" applyFill="1"/>
    <xf numFmtId="0" fontId="0" fillId="36" borderId="0" xfId="0" applyFill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5"/>
  <sheetViews>
    <sheetView workbookViewId="0">
      <selection activeCell="G22" sqref="G22"/>
    </sheetView>
  </sheetViews>
  <sheetFormatPr defaultRowHeight="14.4" x14ac:dyDescent="0.3"/>
  <cols>
    <col min="1" max="1" width="69.5546875" bestFit="1" customWidth="1"/>
    <col min="2" max="2" width="14.33203125" bestFit="1" customWidth="1"/>
    <col min="3" max="3" width="13.88671875" bestFit="1" customWidth="1"/>
    <col min="4" max="4" width="14.33203125" bestFit="1" customWidth="1"/>
    <col min="5" max="5" width="11.6640625" bestFit="1" customWidth="1"/>
  </cols>
  <sheetData>
    <row r="1" spans="1:4" ht="18.600000000000001" thickBot="1" x14ac:dyDescent="0.4">
      <c r="A1" s="1" t="s">
        <v>0</v>
      </c>
      <c r="B1" s="1"/>
      <c r="C1" s="1"/>
      <c r="D1" s="1"/>
    </row>
    <row r="2" spans="1:4" ht="15" thickBot="1" x14ac:dyDescent="0.35">
      <c r="A2" s="7" t="s">
        <v>1</v>
      </c>
      <c r="B2" s="8" t="s">
        <v>2</v>
      </c>
      <c r="C2" s="8" t="s">
        <v>3</v>
      </c>
      <c r="D2" s="8" t="s">
        <v>4</v>
      </c>
    </row>
    <row r="3" spans="1:4" x14ac:dyDescent="0.3">
      <c r="A3" s="5" t="str">
        <f>"ATIVO"</f>
        <v>ATIVO</v>
      </c>
      <c r="B3" s="6" t="str">
        <f>""</f>
        <v/>
      </c>
      <c r="C3" s="6" t="str">
        <f>""</f>
        <v/>
      </c>
      <c r="D3" s="6" t="str">
        <f>""</f>
        <v/>
      </c>
    </row>
    <row r="4" spans="1:4" x14ac:dyDescent="0.3">
      <c r="A4" s="2" t="str">
        <f>"1.0.0.00.00- ATIVO"</f>
        <v>1.0.0.00.00- ATIVO</v>
      </c>
      <c r="B4" s="9">
        <v>65703590.329999998</v>
      </c>
      <c r="C4" s="9">
        <v>-10087196.380000001</v>
      </c>
      <c r="D4" s="9">
        <v>55616393.950000003</v>
      </c>
    </row>
    <row r="5" spans="1:4" x14ac:dyDescent="0.3">
      <c r="A5" s="2" t="str">
        <f>"1.1.0.00.00- ATIVO CIRCULANTE"</f>
        <v>1.1.0.00.00- ATIVO CIRCULANTE</v>
      </c>
      <c r="B5" s="9">
        <v>31452356.460000001</v>
      </c>
      <c r="C5" s="9">
        <v>-10019825.640000001</v>
      </c>
      <c r="D5" s="9">
        <v>21432530.82</v>
      </c>
    </row>
    <row r="6" spans="1:4" s="13" customFormat="1" x14ac:dyDescent="0.3">
      <c r="A6" s="2" t="str">
        <f>"1.1.1.00.00- DISPONIVEL"</f>
        <v>1.1.1.00.00- DISPONIVEL</v>
      </c>
      <c r="B6" s="9">
        <v>22554151.559999999</v>
      </c>
      <c r="C6" s="9">
        <v>-9018938.7300000004</v>
      </c>
      <c r="D6" s="9">
        <v>13535212.83</v>
      </c>
    </row>
    <row r="7" spans="1:4" x14ac:dyDescent="0.3">
      <c r="A7" s="2" t="str">
        <f>"1.1.1.02.00- BANCOS C/MOVIMENTO"</f>
        <v>1.1.1.02.00- BANCOS C/MOVIMENTO</v>
      </c>
      <c r="B7" s="9">
        <v>0.38</v>
      </c>
      <c r="C7" s="9">
        <v>-0.38</v>
      </c>
      <c r="D7" s="9">
        <v>0</v>
      </c>
    </row>
    <row r="8" spans="1:4" x14ac:dyDescent="0.3">
      <c r="A8" s="2" t="str">
        <f>"1.1.1.02.31- Caixa Econômica Federal - 94511-6 - ROT"</f>
        <v>1.1.1.02.31- Caixa Econômica Federal - 94511-6 - ROT</v>
      </c>
      <c r="B8" s="9">
        <v>0.38</v>
      </c>
      <c r="C8" s="9">
        <v>-0.38</v>
      </c>
      <c r="D8" s="9">
        <v>0</v>
      </c>
    </row>
    <row r="9" spans="1:4" x14ac:dyDescent="0.3">
      <c r="A9" s="2" t="str">
        <f>"1.1.1.03.00- APLICACOES FINANCEIRAS"</f>
        <v>1.1.1.03.00- APLICACOES FINANCEIRAS</v>
      </c>
      <c r="B9" s="9">
        <v>21019244.989999998</v>
      </c>
      <c r="C9" s="9">
        <v>-9034136.0800000001</v>
      </c>
      <c r="D9" s="9">
        <v>11985108.91</v>
      </c>
    </row>
    <row r="10" spans="1:4" x14ac:dyDescent="0.3">
      <c r="A10" s="2" t="str">
        <f>"1.1.1.03.22- Caixa Econômica Federal - 94505-1"</f>
        <v>1.1.1.03.22- Caixa Econômica Federal - 94505-1</v>
      </c>
      <c r="B10" s="9">
        <v>560795.4</v>
      </c>
      <c r="C10" s="9">
        <v>2434938.7799999998</v>
      </c>
      <c r="D10" s="9">
        <v>2995734.18</v>
      </c>
    </row>
    <row r="11" spans="1:4" x14ac:dyDescent="0.3">
      <c r="A11" s="2" t="str">
        <f>"1.1.1.03.23- Caixa Econômica Federal - 94506-0"</f>
        <v>1.1.1.03.23- Caixa Econômica Federal - 94506-0</v>
      </c>
      <c r="B11" s="9">
        <v>20183669.359999999</v>
      </c>
      <c r="C11" s="9">
        <v>-11477179.949999999</v>
      </c>
      <c r="D11" s="9">
        <v>8706489.4100000001</v>
      </c>
    </row>
    <row r="12" spans="1:4" x14ac:dyDescent="0.3">
      <c r="A12" s="2" t="str">
        <f>"1.1.1.03.32- Caixa Econômica Federal - 94513-2 Mídia"</f>
        <v>1.1.1.03.32- Caixa Econômica Federal - 94513-2 Mídia</v>
      </c>
      <c r="B12" s="9">
        <v>127412.22</v>
      </c>
      <c r="C12" s="9">
        <v>1347.37</v>
      </c>
      <c r="D12" s="9">
        <v>128759.59</v>
      </c>
    </row>
    <row r="13" spans="1:4" x14ac:dyDescent="0.3">
      <c r="A13" s="2" t="str">
        <f>"1.1.1.03.36- Caixa Econômica Federal - 94528-0 Sucumb"</f>
        <v>1.1.1.03.36- Caixa Econômica Federal - 94528-0 Sucumb</v>
      </c>
      <c r="B13" s="9">
        <v>134054.01</v>
      </c>
      <c r="C13" s="9">
        <v>6681.41</v>
      </c>
      <c r="D13" s="9">
        <v>140735.42000000001</v>
      </c>
    </row>
    <row r="14" spans="1:4" x14ac:dyDescent="0.3">
      <c r="A14" s="2" t="str">
        <f>"1.1.1.03.49- Caixa Econômica Federal - 744797076-0"</f>
        <v>1.1.1.03.49- Caixa Econômica Federal - 744797076-0</v>
      </c>
      <c r="B14" s="9">
        <v>13314</v>
      </c>
      <c r="C14" s="9">
        <v>76.31</v>
      </c>
      <c r="D14" s="9">
        <v>13390.31</v>
      </c>
    </row>
    <row r="15" spans="1:4" x14ac:dyDescent="0.3">
      <c r="A15" s="2" t="str">
        <f>"1.1.1.04.00- BANCOS C/VINCULADA"</f>
        <v>1.1.1.04.00- BANCOS C/VINCULADA</v>
      </c>
      <c r="B15" s="9">
        <v>1534906.19</v>
      </c>
      <c r="C15" s="9">
        <v>15197.73</v>
      </c>
      <c r="D15" s="9">
        <v>1550103.92</v>
      </c>
    </row>
    <row r="16" spans="1:4" x14ac:dyDescent="0.3">
      <c r="A16" s="2" t="str">
        <f>"1.1.1.04.10- Caixa Econômica Federal - 94521-3 Caução"</f>
        <v>1.1.1.04.10- Caixa Econômica Federal - 94521-3 Caução</v>
      </c>
      <c r="B16" s="9">
        <v>138777.26</v>
      </c>
      <c r="C16" s="9">
        <v>1430.45</v>
      </c>
      <c r="D16" s="9">
        <v>140207.71</v>
      </c>
    </row>
    <row r="17" spans="1:4" x14ac:dyDescent="0.3">
      <c r="A17" s="2" t="str">
        <f>"1.1.1.04.12- Caixa Econômica Federal - 94627-9 Leilão"</f>
        <v>1.1.1.04.12- Caixa Econômica Federal - 94627-9 Leilão</v>
      </c>
      <c r="B17" s="9">
        <v>1396128.93</v>
      </c>
      <c r="C17" s="9">
        <v>13767.28</v>
      </c>
      <c r="D17" s="9">
        <v>1409896.21</v>
      </c>
    </row>
    <row r="18" spans="1:4" x14ac:dyDescent="0.3">
      <c r="A18" s="2" t="str">
        <f>"1.1.2.00.00- REALIZAVEL A CURTO PRAZO"</f>
        <v>1.1.2.00.00- REALIZAVEL A CURTO PRAZO</v>
      </c>
      <c r="B18" s="9">
        <v>8898204.9000000004</v>
      </c>
      <c r="C18" s="9">
        <v>-1000886.91</v>
      </c>
      <c r="D18" s="9">
        <v>7897317.9900000002</v>
      </c>
    </row>
    <row r="19" spans="1:4" x14ac:dyDescent="0.3">
      <c r="A19" s="2" t="str">
        <f>"1.1.2.01.00- CONTAS A RECEBER"</f>
        <v>1.1.2.01.00- CONTAS A RECEBER</v>
      </c>
      <c r="B19" s="9">
        <v>253567.34</v>
      </c>
      <c r="C19" s="9">
        <v>0</v>
      </c>
      <c r="D19" s="9">
        <v>253567.34</v>
      </c>
    </row>
    <row r="20" spans="1:4" x14ac:dyDescent="0.3">
      <c r="A20" s="2" t="str">
        <f>"1.1.2.01.94- Midia Onibus a Receber"</f>
        <v>1.1.2.01.94- Midia Onibus a Receber</v>
      </c>
      <c r="B20" s="9">
        <v>253567.34</v>
      </c>
      <c r="C20" s="9">
        <v>0</v>
      </c>
      <c r="D20" s="9">
        <v>253567.34</v>
      </c>
    </row>
    <row r="21" spans="1:4" x14ac:dyDescent="0.3">
      <c r="A21" s="2" t="str">
        <f>"1.1.2.04.00- CONVÊNIOS A RECEBER"</f>
        <v>1.1.2.04.00- CONVÊNIOS A RECEBER</v>
      </c>
      <c r="B21" s="9">
        <v>31071.53</v>
      </c>
      <c r="C21" s="9">
        <v>0</v>
      </c>
      <c r="D21" s="9">
        <v>31071.53</v>
      </c>
    </row>
    <row r="22" spans="1:4" x14ac:dyDescent="0.3">
      <c r="A22" s="2" t="str">
        <f>"1.1.2.04.99- Convenios cedidos a receber"</f>
        <v>1.1.2.04.99- Convenios cedidos a receber</v>
      </c>
      <c r="B22" s="9">
        <v>31071.53</v>
      </c>
      <c r="C22" s="9">
        <v>0</v>
      </c>
      <c r="D22" s="9">
        <v>31071.53</v>
      </c>
    </row>
    <row r="23" spans="1:4" x14ac:dyDescent="0.3">
      <c r="A23" s="2" t="str">
        <f>"1.1.2.06.00- ADIANTAMENTO A EMPREGADOS"</f>
        <v>1.1.2.06.00- ADIANTAMENTO A EMPREGADOS</v>
      </c>
      <c r="B23" s="9">
        <v>2930602.59</v>
      </c>
      <c r="C23" s="9">
        <v>-930006.5</v>
      </c>
      <c r="D23" s="9">
        <v>2000596.09</v>
      </c>
    </row>
    <row r="24" spans="1:4" x14ac:dyDescent="0.3">
      <c r="A24" s="2" t="str">
        <f>"1.1.2.06.01- Adiantamento de Ferias"</f>
        <v>1.1.2.06.01- Adiantamento de Ferias</v>
      </c>
      <c r="B24" s="9">
        <v>2808934.63</v>
      </c>
      <c r="C24" s="9">
        <v>-1935294.34</v>
      </c>
      <c r="D24" s="9">
        <v>873640.29</v>
      </c>
    </row>
    <row r="25" spans="1:4" x14ac:dyDescent="0.3">
      <c r="A25" s="2" t="str">
        <f>"1.1.2.06.02- Adiantamento de 13. Salario"</f>
        <v>1.1.2.06.02- Adiantamento de 13. Salario</v>
      </c>
      <c r="B25" s="9">
        <v>0</v>
      </c>
      <c r="C25" s="9">
        <v>856246.67</v>
      </c>
      <c r="D25" s="9">
        <v>856246.67</v>
      </c>
    </row>
    <row r="26" spans="1:4" x14ac:dyDescent="0.3">
      <c r="A26" s="2" t="str">
        <f>"1.1.2.06.03- Adiant. de Salario/Parc. Ferias"</f>
        <v>1.1.2.06.03- Adiant. de Salario/Parc. Ferias</v>
      </c>
      <c r="B26" s="9">
        <v>102510.18</v>
      </c>
      <c r="C26" s="9">
        <v>166250.23999999999</v>
      </c>
      <c r="D26" s="9">
        <v>268760.42</v>
      </c>
    </row>
    <row r="27" spans="1:4" x14ac:dyDescent="0.3">
      <c r="A27" s="2" t="str">
        <f>"1.1.2.06.07- Adiantamento Pensao s/ Ferias"</f>
        <v>1.1.2.06.07- Adiantamento Pensao s/ Ferias</v>
      </c>
      <c r="B27" s="9">
        <v>19157.78</v>
      </c>
      <c r="C27" s="9">
        <v>-17209.07</v>
      </c>
      <c r="D27" s="9">
        <v>1948.71</v>
      </c>
    </row>
    <row r="28" spans="1:4" x14ac:dyDescent="0.3">
      <c r="A28" s="2" t="str">
        <f>"1.1.2.08.00- ALMOXARIFADO"</f>
        <v>1.1.2.08.00- ALMOXARIFADO</v>
      </c>
      <c r="B28" s="9">
        <v>638582.96</v>
      </c>
      <c r="C28" s="9">
        <v>-28210.45</v>
      </c>
      <c r="D28" s="9">
        <v>610372.51</v>
      </c>
    </row>
    <row r="29" spans="1:4" x14ac:dyDescent="0.3">
      <c r="A29" s="2" t="str">
        <f>"1.1.2.08.01- Material em Estoque"</f>
        <v>1.1.2.08.01- Material em Estoque</v>
      </c>
      <c r="B29" s="9">
        <v>638582.96</v>
      </c>
      <c r="C29" s="9">
        <v>-28210.45</v>
      </c>
      <c r="D29" s="9">
        <v>610372.51</v>
      </c>
    </row>
    <row r="30" spans="1:4" x14ac:dyDescent="0.3">
      <c r="A30" s="2" t="str">
        <f>"1.1.2.10.00- IMPOSTOS E CONTRIB.A RECUPERAR"</f>
        <v>1.1.2.10.00- IMPOSTOS E CONTRIB.A RECUPERAR</v>
      </c>
      <c r="B30" s="9">
        <v>5109170.46</v>
      </c>
      <c r="C30" s="9">
        <v>-109501.32</v>
      </c>
      <c r="D30" s="9">
        <v>4999669.1399999997</v>
      </c>
    </row>
    <row r="31" spans="1:4" x14ac:dyDescent="0.3">
      <c r="A31" s="2" t="str">
        <f>"1.1.2.10.01- IR s/Aplicacao Financeira"</f>
        <v>1.1.2.10.01- IR s/Aplicacao Financeira</v>
      </c>
      <c r="B31" s="9">
        <v>411564.94</v>
      </c>
      <c r="C31" s="9">
        <v>38700.800000000003</v>
      </c>
      <c r="D31" s="9">
        <v>450265.74</v>
      </c>
    </row>
    <row r="32" spans="1:4" x14ac:dyDescent="0.3">
      <c r="A32" s="2" t="str">
        <f>"1.1.2.10.15- Cofins a Compensar"</f>
        <v>1.1.2.10.15- Cofins a Compensar</v>
      </c>
      <c r="B32" s="9">
        <v>3849648.82</v>
      </c>
      <c r="C32" s="9">
        <v>-122050.65</v>
      </c>
      <c r="D32" s="9">
        <v>3727598.17</v>
      </c>
    </row>
    <row r="33" spans="1:4" x14ac:dyDescent="0.3">
      <c r="A33" s="2" t="str">
        <f>"1.1.2.10.16- PIS a Compensar"</f>
        <v>1.1.2.10.16- PIS a Compensar</v>
      </c>
      <c r="B33" s="9">
        <v>847956.7</v>
      </c>
      <c r="C33" s="9">
        <v>-26151.47</v>
      </c>
      <c r="D33" s="9">
        <v>821805.23</v>
      </c>
    </row>
    <row r="34" spans="1:4" x14ac:dyDescent="0.3">
      <c r="A34" s="2" t="str">
        <f>"1.1.2.11.00- DESPESAS ANTECIPADAS"</f>
        <v>1.1.2.11.00- DESPESAS ANTECIPADAS</v>
      </c>
      <c r="B34" s="9">
        <v>11110.01</v>
      </c>
      <c r="C34" s="9">
        <v>242.1</v>
      </c>
      <c r="D34" s="9">
        <v>11352.11</v>
      </c>
    </row>
    <row r="35" spans="1:4" x14ac:dyDescent="0.3">
      <c r="A35" s="2" t="str">
        <f>"1.1.2.11.01- Premios de Seguros a Vencer"</f>
        <v>1.1.2.11.01- Premios de Seguros a Vencer</v>
      </c>
      <c r="B35" s="9">
        <v>11110.01</v>
      </c>
      <c r="C35" s="9">
        <v>242.1</v>
      </c>
      <c r="D35" s="9">
        <v>11352.11</v>
      </c>
    </row>
    <row r="36" spans="1:4" x14ac:dyDescent="0.3">
      <c r="A36" s="2" t="str">
        <f>"1.1.2.14.00- CONTAS TRANSITORIAS - GRUPO ATIVO"</f>
        <v>1.1.2.14.00- CONTAS TRANSITORIAS - GRUPO ATIVO</v>
      </c>
      <c r="B36" s="9">
        <v>-75899.990000000005</v>
      </c>
      <c r="C36" s="9">
        <v>66589.259999999995</v>
      </c>
      <c r="D36" s="9">
        <v>-9310.73</v>
      </c>
    </row>
    <row r="37" spans="1:4" x14ac:dyDescent="0.3">
      <c r="A37" s="2" t="str">
        <f>"1.1.2.14.07- Transitoria de Imposto"</f>
        <v>1.1.2.14.07- Transitoria de Imposto</v>
      </c>
      <c r="B37" s="9">
        <v>-75899.990000000005</v>
      </c>
      <c r="C37" s="9">
        <v>66589.259999999995</v>
      </c>
      <c r="D37" s="9">
        <v>-9310.73</v>
      </c>
    </row>
    <row r="38" spans="1:4" x14ac:dyDescent="0.3">
      <c r="A38" s="2" t="str">
        <f>"1.2.0.00.00- ATIVO NAO CIRCULANTE"</f>
        <v>1.2.0.00.00- ATIVO NAO CIRCULANTE</v>
      </c>
      <c r="B38" s="9">
        <v>34251233.869999997</v>
      </c>
      <c r="C38" s="9">
        <v>-67370.740000000005</v>
      </c>
      <c r="D38" s="9">
        <v>34183863.130000003</v>
      </c>
    </row>
    <row r="39" spans="1:4" x14ac:dyDescent="0.3">
      <c r="A39" s="2" t="str">
        <f>"1.2.1.00.00- REALIZAVEL A LONGO PRAZO"</f>
        <v>1.2.1.00.00- REALIZAVEL A LONGO PRAZO</v>
      </c>
      <c r="B39" s="9">
        <v>32901561.649999999</v>
      </c>
      <c r="C39" s="9">
        <v>-38424.94</v>
      </c>
      <c r="D39" s="9">
        <v>32863136.710000001</v>
      </c>
    </row>
    <row r="40" spans="1:4" x14ac:dyDescent="0.3">
      <c r="A40" s="2" t="str">
        <f>"1.2.1.01.00- CREDITOS E VALORES A RECEBER"</f>
        <v>1.2.1.01.00- CREDITOS E VALORES A RECEBER</v>
      </c>
      <c r="B40" s="9">
        <v>32901561.649999999</v>
      </c>
      <c r="C40" s="9">
        <v>-38424.94</v>
      </c>
      <c r="D40" s="9">
        <v>32863136.710000001</v>
      </c>
    </row>
    <row r="41" spans="1:4" x14ac:dyDescent="0.3">
      <c r="A41" s="2" t="str">
        <f>"1.2.1.01.01- Depositos Judiciais"</f>
        <v>1.2.1.01.01- Depositos Judiciais</v>
      </c>
      <c r="B41" s="9">
        <v>842091.12</v>
      </c>
      <c r="C41" s="9">
        <v>-38424.94</v>
      </c>
      <c r="D41" s="9">
        <v>803666.18</v>
      </c>
    </row>
    <row r="42" spans="1:4" x14ac:dyDescent="0.3">
      <c r="A42" s="2" t="str">
        <f>"1.2.1.01.04- Convenio Prefeitura Betim"</f>
        <v>1.2.1.01.04- Convenio Prefeitura Betim</v>
      </c>
      <c r="B42" s="9">
        <v>891.18</v>
      </c>
      <c r="C42" s="9">
        <v>0</v>
      </c>
      <c r="D42" s="9">
        <v>891.18</v>
      </c>
    </row>
    <row r="43" spans="1:4" x14ac:dyDescent="0.3">
      <c r="A43" s="2" t="str">
        <f>"1.2.1.01.05- Convenio IPSEMG"</f>
        <v>1.2.1.01.05- Convenio IPSEMG</v>
      </c>
      <c r="B43" s="9">
        <v>21163.53</v>
      </c>
      <c r="C43" s="9">
        <v>0</v>
      </c>
      <c r="D43" s="9">
        <v>21163.53</v>
      </c>
    </row>
    <row r="44" spans="1:4" x14ac:dyDescent="0.3">
      <c r="A44" s="2" t="str">
        <f>"1.2.1.01.06- Multas Transporte Coletivo"</f>
        <v>1.2.1.01.06- Multas Transporte Coletivo</v>
      </c>
      <c r="B44" s="9">
        <v>40046769.780000001</v>
      </c>
      <c r="C44" s="9">
        <v>0</v>
      </c>
      <c r="D44" s="9">
        <v>40046769.780000001</v>
      </c>
    </row>
    <row r="45" spans="1:4" x14ac:dyDescent="0.3">
      <c r="A45" s="2" t="str">
        <f>"1.2.1.01.07- (-) Provisao para Perdas"</f>
        <v>1.2.1.01.07- (-) Provisao para Perdas</v>
      </c>
      <c r="B45" s="9">
        <v>-8009353.96</v>
      </c>
      <c r="C45" s="9">
        <v>0</v>
      </c>
      <c r="D45" s="9">
        <v>-8009353.96</v>
      </c>
    </row>
    <row r="46" spans="1:4" x14ac:dyDescent="0.3">
      <c r="A46" s="2" t="str">
        <f>"1.3.1.00.00- INVESTIMENTOS"</f>
        <v>1.3.1.00.00- INVESTIMENTOS</v>
      </c>
      <c r="B46" s="9">
        <v>26152.19</v>
      </c>
      <c r="C46" s="9">
        <v>0</v>
      </c>
      <c r="D46" s="9">
        <v>26152.19</v>
      </c>
    </row>
    <row r="47" spans="1:4" x14ac:dyDescent="0.3">
      <c r="A47" s="2" t="str">
        <f>"1.3.1.01.00- OUTROS INVESTIMENTOS"</f>
        <v>1.3.1.01.00- OUTROS INVESTIMENTOS</v>
      </c>
      <c r="B47" s="9">
        <v>26152.19</v>
      </c>
      <c r="C47" s="9">
        <v>0</v>
      </c>
      <c r="D47" s="9">
        <v>26152.19</v>
      </c>
    </row>
    <row r="48" spans="1:4" x14ac:dyDescent="0.3">
      <c r="A48" s="2" t="str">
        <f>"1.3.1.01.01- Obras de Arte"</f>
        <v>1.3.1.01.01- Obras de Arte</v>
      </c>
      <c r="B48" s="9">
        <v>25200</v>
      </c>
      <c r="C48" s="9">
        <v>0</v>
      </c>
      <c r="D48" s="9">
        <v>25200</v>
      </c>
    </row>
    <row r="49" spans="1:4" x14ac:dyDescent="0.3">
      <c r="A49" s="2" t="str">
        <f>"1.3.1.01.02- Participações Societárias - PBH ATIVOS"</f>
        <v>1.3.1.01.02- Participações Societárias - PBH ATIVOS</v>
      </c>
      <c r="B49" s="9">
        <v>952.19</v>
      </c>
      <c r="C49" s="9">
        <v>0</v>
      </c>
      <c r="D49" s="9">
        <v>952.19</v>
      </c>
    </row>
    <row r="50" spans="1:4" x14ac:dyDescent="0.3">
      <c r="A50" s="2" t="str">
        <f>"1.3.2.00.00- IMOBILIZADO"</f>
        <v>1.3.2.00.00- IMOBILIZADO</v>
      </c>
      <c r="B50" s="9">
        <v>6900391.96</v>
      </c>
      <c r="C50" s="9">
        <v>-4533.6099999999997</v>
      </c>
      <c r="D50" s="9">
        <v>6895858.3499999996</v>
      </c>
    </row>
    <row r="51" spans="1:4" x14ac:dyDescent="0.3">
      <c r="A51" s="2" t="str">
        <f>"1.3.2.01.01- Maquinas e equipamentos"</f>
        <v>1.3.2.01.01- Maquinas e equipamentos</v>
      </c>
      <c r="B51" s="9">
        <v>259352.63</v>
      </c>
      <c r="C51" s="9">
        <v>0</v>
      </c>
      <c r="D51" s="9">
        <v>259352.63</v>
      </c>
    </row>
    <row r="52" spans="1:4" x14ac:dyDescent="0.3">
      <c r="A52" s="2" t="str">
        <f>"1.3.2.02.01- Ferramentas"</f>
        <v>1.3.2.02.01- Ferramentas</v>
      </c>
      <c r="B52" s="9">
        <v>8159.81</v>
      </c>
      <c r="C52" s="9">
        <v>0</v>
      </c>
      <c r="D52" s="9">
        <v>8159.81</v>
      </c>
    </row>
    <row r="53" spans="1:4" x14ac:dyDescent="0.3">
      <c r="A53" s="2" t="str">
        <f>"1.3.2.03.01- Equipamentos de comunicacao"</f>
        <v>1.3.2.03.01- Equipamentos de comunicacao</v>
      </c>
      <c r="B53" s="9">
        <v>638718.06999999995</v>
      </c>
      <c r="C53" s="9">
        <v>0</v>
      </c>
      <c r="D53" s="9">
        <v>638718.06999999995</v>
      </c>
    </row>
    <row r="54" spans="1:4" x14ac:dyDescent="0.3">
      <c r="A54" s="2" t="str">
        <f>"1.3.2.04.01- Instalacoes"</f>
        <v>1.3.2.04.01- Instalacoes</v>
      </c>
      <c r="B54" s="9">
        <v>89886.56</v>
      </c>
      <c r="C54" s="9">
        <v>0</v>
      </c>
      <c r="D54" s="9">
        <v>89886.56</v>
      </c>
    </row>
    <row r="55" spans="1:4" x14ac:dyDescent="0.3">
      <c r="A55" s="2" t="str">
        <f>"1.3.2.06.01- Moveis e utensilios"</f>
        <v>1.3.2.06.01- Moveis e utensilios</v>
      </c>
      <c r="B55" s="9">
        <v>456201.85</v>
      </c>
      <c r="C55" s="9">
        <v>-2899</v>
      </c>
      <c r="D55" s="9">
        <v>453302.85</v>
      </c>
    </row>
    <row r="56" spans="1:4" x14ac:dyDescent="0.3">
      <c r="A56" s="2" t="str">
        <f>"1.3.2.08.01- Instalacoes administrativas"</f>
        <v>1.3.2.08.01- Instalacoes administrativas</v>
      </c>
      <c r="B56" s="9">
        <v>98491.4</v>
      </c>
      <c r="C56" s="9">
        <v>0</v>
      </c>
      <c r="D56" s="9">
        <v>98491.4</v>
      </c>
    </row>
    <row r="57" spans="1:4" x14ac:dyDescent="0.3">
      <c r="A57" s="2" t="str">
        <f>"1.3.2.09.01- Aparelhos/equipamentos diversos"</f>
        <v>1.3.2.09.01- Aparelhos/equipamentos diversos</v>
      </c>
      <c r="B57" s="9">
        <v>632717.68999999994</v>
      </c>
      <c r="C57" s="9">
        <v>-1634.61</v>
      </c>
      <c r="D57" s="9">
        <v>631083.07999999996</v>
      </c>
    </row>
    <row r="58" spans="1:4" x14ac:dyDescent="0.3">
      <c r="A58" s="2" t="str">
        <f>"1.3.2.10.01- Equip. p/ processamento de dados"</f>
        <v>1.3.2.10.01- Equip. p/ processamento de dados</v>
      </c>
      <c r="B58" s="9">
        <v>1494365.77</v>
      </c>
      <c r="C58" s="9">
        <v>0</v>
      </c>
      <c r="D58" s="9">
        <v>1494365.77</v>
      </c>
    </row>
    <row r="59" spans="1:4" x14ac:dyDescent="0.3">
      <c r="A59" s="2" t="str">
        <f>"1.3.2.12.01- Micros/impressoras e acessorios"</f>
        <v>1.3.2.12.01- Micros/impressoras e acessorios</v>
      </c>
      <c r="B59" s="9">
        <v>1450152.26</v>
      </c>
      <c r="C59" s="9">
        <v>0</v>
      </c>
      <c r="D59" s="9">
        <v>1450152.26</v>
      </c>
    </row>
    <row r="60" spans="1:4" x14ac:dyDescent="0.3">
      <c r="A60" s="2" t="str">
        <f>"1.3.2.13.01- Imobilizacao em imoveis de terceiros"</f>
        <v>1.3.2.13.01- Imobilizacao em imoveis de terceiros</v>
      </c>
      <c r="B60" s="9">
        <v>609961.46</v>
      </c>
      <c r="C60" s="9">
        <v>0</v>
      </c>
      <c r="D60" s="9">
        <v>609961.46</v>
      </c>
    </row>
    <row r="61" spans="1:4" x14ac:dyDescent="0.3">
      <c r="A61" s="2" t="str">
        <f>"1.3.2.14.01- Estacao Diamante"</f>
        <v>1.3.2.14.01- Estacao Diamante</v>
      </c>
      <c r="B61" s="9">
        <v>1162384.46</v>
      </c>
      <c r="C61" s="9">
        <v>0</v>
      </c>
      <c r="D61" s="9">
        <v>1162384.46</v>
      </c>
    </row>
    <row r="62" spans="1:4" x14ac:dyDescent="0.3">
      <c r="A62" s="2" t="str">
        <f>"1.3.3.00.00- INTANGIVEL"</f>
        <v>1.3.3.00.00- INTANGIVEL</v>
      </c>
      <c r="B62" s="9">
        <v>37558</v>
      </c>
      <c r="C62" s="9">
        <v>0</v>
      </c>
      <c r="D62" s="9">
        <v>37558</v>
      </c>
    </row>
    <row r="63" spans="1:4" x14ac:dyDescent="0.3">
      <c r="A63" s="2" t="str">
        <f>"1.3.3.03.00- MARCAS E PATENTES"</f>
        <v>1.3.3.03.00- MARCAS E PATENTES</v>
      </c>
      <c r="B63" s="9">
        <v>808</v>
      </c>
      <c r="C63" s="9">
        <v>0</v>
      </c>
      <c r="D63" s="9">
        <v>808</v>
      </c>
    </row>
    <row r="64" spans="1:4" x14ac:dyDescent="0.3">
      <c r="A64" s="2" t="str">
        <f>"1.3.3.03.01- Marcas e Patentes"</f>
        <v>1.3.3.03.01- Marcas e Patentes</v>
      </c>
      <c r="B64" s="9">
        <v>808</v>
      </c>
      <c r="C64" s="9">
        <v>0</v>
      </c>
      <c r="D64" s="9">
        <v>808</v>
      </c>
    </row>
    <row r="65" spans="1:4" x14ac:dyDescent="0.3">
      <c r="A65" s="2" t="str">
        <f>"1.3.3.04.01- Programas e Sistemas"</f>
        <v>1.3.3.04.01- Programas e Sistemas</v>
      </c>
      <c r="B65" s="9">
        <v>36750</v>
      </c>
      <c r="C65" s="9">
        <v>0</v>
      </c>
      <c r="D65" s="9">
        <v>36750</v>
      </c>
    </row>
    <row r="66" spans="1:4" x14ac:dyDescent="0.3">
      <c r="A66" s="2" t="str">
        <f>"1.3.5.00.00- ( - )DEPRECIACAO E AMORTIZACAO"</f>
        <v>1.3.5.00.00- ( - )DEPRECIACAO E AMORTIZACAO</v>
      </c>
      <c r="B66" s="9">
        <v>-5614429.9299999997</v>
      </c>
      <c r="C66" s="9">
        <v>-24412.19</v>
      </c>
      <c r="D66" s="9">
        <v>-5638842.1200000001</v>
      </c>
    </row>
    <row r="67" spans="1:4" x14ac:dyDescent="0.3">
      <c r="A67" s="2" t="str">
        <f>"1.3.5.01.00- ( - ) DEPRECIACAO E AMORTIZACAO"</f>
        <v>1.3.5.01.00- ( - ) DEPRECIACAO E AMORTIZACAO</v>
      </c>
      <c r="B67" s="9">
        <v>-5614429.9299999997</v>
      </c>
      <c r="C67" s="9">
        <v>-24412.19</v>
      </c>
      <c r="D67" s="9">
        <v>-5638842.1200000001</v>
      </c>
    </row>
    <row r="68" spans="1:4" x14ac:dyDescent="0.3">
      <c r="A68" s="2" t="str">
        <f>"1.3.5.01.01- ( - ) Moveis e Utensilios"</f>
        <v>1.3.5.01.01- ( - ) Moveis e Utensilios</v>
      </c>
      <c r="B68" s="9">
        <v>-430152.95</v>
      </c>
      <c r="C68" s="9">
        <v>33.82</v>
      </c>
      <c r="D68" s="9">
        <v>-430119.13</v>
      </c>
    </row>
    <row r="69" spans="1:4" x14ac:dyDescent="0.3">
      <c r="A69" s="2" t="str">
        <f>"1.3.5.01.02- ( - ) Aparelhos/Equipamentos Diversos"</f>
        <v>1.3.5.01.02- ( - ) Aparelhos/Equipamentos Diversos</v>
      </c>
      <c r="B69" s="9">
        <v>-565062.32999999996</v>
      </c>
      <c r="C69" s="9">
        <v>-996.36</v>
      </c>
      <c r="D69" s="9">
        <v>-566058.68999999994</v>
      </c>
    </row>
    <row r="70" spans="1:4" x14ac:dyDescent="0.3">
      <c r="A70" s="2" t="str">
        <f>"1.3.5.01.03- ( - ) Instalacoes Administrativas"</f>
        <v>1.3.5.01.03- ( - ) Instalacoes Administrativas</v>
      </c>
      <c r="B70" s="9">
        <v>-98491.4</v>
      </c>
      <c r="C70" s="9">
        <v>0</v>
      </c>
      <c r="D70" s="9">
        <v>-98491.4</v>
      </c>
    </row>
    <row r="71" spans="1:4" x14ac:dyDescent="0.3">
      <c r="A71" s="2" t="str">
        <f>"1.3.5.01.05- ( - ) Impressoras e Micros"</f>
        <v>1.3.5.01.05- ( - ) Impressoras e Micros</v>
      </c>
      <c r="B71" s="9">
        <v>-2147140.9</v>
      </c>
      <c r="C71" s="9">
        <v>-12687.63</v>
      </c>
      <c r="D71" s="9">
        <v>-2159828.5299999998</v>
      </c>
    </row>
    <row r="72" spans="1:4" x14ac:dyDescent="0.3">
      <c r="A72" s="2" t="str">
        <f>"1.3.5.01.06- ( - ) Maquinas e Equipamentos"</f>
        <v>1.3.5.01.06- ( - ) Maquinas e Equipamentos</v>
      </c>
      <c r="B72" s="9">
        <v>-229078.5</v>
      </c>
      <c r="C72" s="9">
        <v>-550.62</v>
      </c>
      <c r="D72" s="9">
        <v>-229629.12</v>
      </c>
    </row>
    <row r="73" spans="1:4" x14ac:dyDescent="0.3">
      <c r="A73" s="2" t="str">
        <f>"1.3.5.01.07- ( - ) Equipamentos de Comunicacao"</f>
        <v>1.3.5.01.07- ( - ) Equipamentos de Comunicacao</v>
      </c>
      <c r="B73" s="9">
        <v>-475328.45</v>
      </c>
      <c r="C73" s="9">
        <v>-7995.34</v>
      </c>
      <c r="D73" s="9">
        <v>-483323.79</v>
      </c>
    </row>
    <row r="74" spans="1:4" x14ac:dyDescent="0.3">
      <c r="A74" s="2" t="str">
        <f>"1.3.5.01.08- ( - ) Instalacoes Operacionais"</f>
        <v>1.3.5.01.08- ( - ) Instalacoes Operacionais</v>
      </c>
      <c r="B74" s="9">
        <v>-84747.7</v>
      </c>
      <c r="C74" s="9">
        <v>-182.86</v>
      </c>
      <c r="D74" s="9">
        <v>-84930.559999999998</v>
      </c>
    </row>
    <row r="75" spans="1:4" x14ac:dyDescent="0.3">
      <c r="A75" s="2" t="str">
        <f>"1.3.5.01.09- ( - ) Programas (Softwares)"</f>
        <v>1.3.5.01.09- ( - ) Programas (Softwares)</v>
      </c>
      <c r="B75" s="9">
        <v>-36750</v>
      </c>
      <c r="C75" s="9">
        <v>0</v>
      </c>
      <c r="D75" s="9">
        <v>-36750</v>
      </c>
    </row>
    <row r="76" spans="1:4" x14ac:dyDescent="0.3">
      <c r="A76" s="2" t="str">
        <f>"1.3.5.01.14- ( - ) Ferramentas"</f>
        <v>1.3.5.01.14- ( - ) Ferramentas</v>
      </c>
      <c r="B76" s="9">
        <v>-8159.81</v>
      </c>
      <c r="C76" s="9">
        <v>0</v>
      </c>
      <c r="D76" s="9">
        <v>-8159.81</v>
      </c>
    </row>
    <row r="77" spans="1:4" x14ac:dyDescent="0.3">
      <c r="A77" s="2" t="str">
        <f>"1.3.5.01.15- ( - ) Imobilizacoes em Imov. Terceiros"</f>
        <v>1.3.5.01.15- ( - ) Imobilizacoes em Imov. Terceiros</v>
      </c>
      <c r="B77" s="9">
        <v>-1539517.89</v>
      </c>
      <c r="C77" s="9">
        <v>-2033.2</v>
      </c>
      <c r="D77" s="9">
        <v>-1541551.09</v>
      </c>
    </row>
    <row r="78" spans="1:4" x14ac:dyDescent="0.3">
      <c r="A78" s="2" t="str">
        <f>""</f>
        <v/>
      </c>
      <c r="B78" s="3" t="str">
        <f>""</f>
        <v/>
      </c>
      <c r="C78" s="3" t="str">
        <f>""</f>
        <v/>
      </c>
      <c r="D78" s="3" t="str">
        <f>""</f>
        <v/>
      </c>
    </row>
    <row r="79" spans="1:4" x14ac:dyDescent="0.3">
      <c r="A79" s="2" t="str">
        <f>"PASSIVO"</f>
        <v>PASSIVO</v>
      </c>
      <c r="B79" s="3" t="str">
        <f>""</f>
        <v/>
      </c>
      <c r="C79" s="3" t="str">
        <f>""</f>
        <v/>
      </c>
      <c r="D79" s="3" t="str">
        <f>""</f>
        <v/>
      </c>
    </row>
    <row r="80" spans="1:4" x14ac:dyDescent="0.3">
      <c r="A80" s="2" t="str">
        <f>"2.0.0.00.00- PASSIVO"</f>
        <v>2.0.0.00.00- PASSIVO</v>
      </c>
      <c r="B80" s="9">
        <v>65703590.329999998</v>
      </c>
      <c r="C80" s="9">
        <v>-10087196.380000001</v>
      </c>
      <c r="D80" s="9">
        <v>55616393.950000003</v>
      </c>
    </row>
    <row r="81" spans="1:4" x14ac:dyDescent="0.3">
      <c r="A81" s="2" t="str">
        <f>"2.1.0.00.00- PASSIVO CIRCULANTE"</f>
        <v>2.1.0.00.00- PASSIVO CIRCULANTE</v>
      </c>
      <c r="B81" s="9">
        <v>35513521.159999996</v>
      </c>
      <c r="C81" s="9">
        <v>-3407124.13</v>
      </c>
      <c r="D81" s="9">
        <v>32106397.030000001</v>
      </c>
    </row>
    <row r="82" spans="1:4" x14ac:dyDescent="0.3">
      <c r="A82" s="2" t="str">
        <f>"2.1.1.00.00- OBRIGACOES COM PESSOAL"</f>
        <v>2.1.1.00.00- OBRIGACOES COM PESSOAL</v>
      </c>
      <c r="B82" s="9">
        <v>17569830.370000001</v>
      </c>
      <c r="C82" s="9">
        <v>-1768537.05</v>
      </c>
      <c r="D82" s="9">
        <v>15801293.32</v>
      </c>
    </row>
    <row r="83" spans="1:4" x14ac:dyDescent="0.3">
      <c r="A83" s="2" t="str">
        <f>"2.1.1.01.00- SALARIOS A PAGAR"</f>
        <v>2.1.1.01.00- SALARIOS A PAGAR</v>
      </c>
      <c r="B83" s="9">
        <v>17569830.370000001</v>
      </c>
      <c r="C83" s="9">
        <v>-1768537.05</v>
      </c>
      <c r="D83" s="9">
        <v>15801293.32</v>
      </c>
    </row>
    <row r="84" spans="1:4" x14ac:dyDescent="0.3">
      <c r="A84" s="2" t="str">
        <f>"2.1.1.01.01- Salarios a Pagar"</f>
        <v>2.1.1.01.01- Salarios a Pagar</v>
      </c>
      <c r="B84" s="9">
        <v>5081431.1900000004</v>
      </c>
      <c r="C84" s="9">
        <v>-315733.75</v>
      </c>
      <c r="D84" s="9">
        <v>4765697.4400000004</v>
      </c>
    </row>
    <row r="85" spans="1:4" x14ac:dyDescent="0.3">
      <c r="A85" s="2" t="str">
        <f>"2.1.1.01.02- Provisão 13º Salário"</f>
        <v>2.1.1.01.02- Provisão 13º Salário</v>
      </c>
      <c r="B85" s="9">
        <v>0</v>
      </c>
      <c r="C85" s="9">
        <v>667771.44999999995</v>
      </c>
      <c r="D85" s="9">
        <v>667771.44999999995</v>
      </c>
    </row>
    <row r="86" spans="1:4" x14ac:dyDescent="0.3">
      <c r="A86" s="2" t="str">
        <f>"2.1.1.01.03- Ferias a pagar"</f>
        <v>2.1.1.01.03- Ferias a pagar</v>
      </c>
      <c r="B86" s="9">
        <v>693707.6</v>
      </c>
      <c r="C86" s="9">
        <v>-586619.46</v>
      </c>
      <c r="D86" s="9">
        <v>107088.14</v>
      </c>
    </row>
    <row r="87" spans="1:4" x14ac:dyDescent="0.3">
      <c r="A87" s="2" t="str">
        <f>"2.1.1.01.05- Rescisoes a Pagar"</f>
        <v>2.1.1.01.05- Rescisoes a Pagar</v>
      </c>
      <c r="B87" s="9">
        <v>1105</v>
      </c>
      <c r="C87" s="9">
        <v>3151.12</v>
      </c>
      <c r="D87" s="9">
        <v>4256.12</v>
      </c>
    </row>
    <row r="88" spans="1:4" x14ac:dyDescent="0.3">
      <c r="A88" s="2" t="str">
        <f>"2.1.1.01.09- Provisao de Ferias"</f>
        <v>2.1.1.01.09- Provisao de Ferias</v>
      </c>
      <c r="B88" s="9">
        <v>11709509.74</v>
      </c>
      <c r="C88" s="9">
        <v>-1520709.06</v>
      </c>
      <c r="D88" s="9">
        <v>10188800.68</v>
      </c>
    </row>
    <row r="89" spans="1:4" x14ac:dyDescent="0.3">
      <c r="A89" s="2" t="str">
        <f>"2.1.1.01.12- Pensão Judicial"</f>
        <v>2.1.1.01.12- Pensão Judicial</v>
      </c>
      <c r="B89" s="9">
        <v>84076.84</v>
      </c>
      <c r="C89" s="9">
        <v>-16397.349999999999</v>
      </c>
      <c r="D89" s="9">
        <v>67679.490000000005</v>
      </c>
    </row>
    <row r="90" spans="1:4" x14ac:dyDescent="0.3">
      <c r="A90" s="2" t="str">
        <f>"2.1.2.00.00- OBRIGACOES SOCIAIS A CURTO PRAZO"</f>
        <v>2.1.2.00.00- OBRIGACOES SOCIAIS A CURTO PRAZO</v>
      </c>
      <c r="B90" s="9">
        <v>8786665.0099999998</v>
      </c>
      <c r="C90" s="9">
        <v>-256833.27</v>
      </c>
      <c r="D90" s="9">
        <v>8529831.7400000002</v>
      </c>
    </row>
    <row r="91" spans="1:4" x14ac:dyDescent="0.3">
      <c r="A91" s="2" t="str">
        <f>"2.1.2.01.00- OBRIGACOES SOCIAIS A RECOLHER"</f>
        <v>2.1.2.01.00- OBRIGACOES SOCIAIS A RECOLHER</v>
      </c>
      <c r="B91" s="9">
        <v>8786665.0099999998</v>
      </c>
      <c r="C91" s="9">
        <v>-256833.27</v>
      </c>
      <c r="D91" s="9">
        <v>8529831.7400000002</v>
      </c>
    </row>
    <row r="92" spans="1:4" x14ac:dyDescent="0.3">
      <c r="A92" s="2" t="str">
        <f>"2.1.2.01.01- INSS a recolher s/Folha Pagto"</f>
        <v>2.1.2.01.01- INSS a recolher s/Folha Pagto</v>
      </c>
      <c r="B92" s="9">
        <v>3008236.69</v>
      </c>
      <c r="C92" s="9">
        <v>328494.46999999997</v>
      </c>
      <c r="D92" s="9">
        <v>3336731.16</v>
      </c>
    </row>
    <row r="93" spans="1:4" x14ac:dyDescent="0.3">
      <c r="A93" s="2" t="str">
        <f>"2.1.2.01.02- FGTS a recolher s/Folha Pagto"</f>
        <v>2.1.2.01.02- FGTS a recolher s/Folha Pagto</v>
      </c>
      <c r="B93" s="9">
        <v>1010563.96</v>
      </c>
      <c r="C93" s="9">
        <v>-203018.46</v>
      </c>
      <c r="D93" s="9">
        <v>807545.5</v>
      </c>
    </row>
    <row r="94" spans="1:4" x14ac:dyDescent="0.3">
      <c r="A94" s="2" t="str">
        <f>"2.1.2.01.05- Contribuicao Sindical"</f>
        <v>2.1.2.01.05- Contribuicao Sindical</v>
      </c>
      <c r="B94" s="9">
        <v>9091.82</v>
      </c>
      <c r="C94" s="9">
        <v>27.99</v>
      </c>
      <c r="D94" s="9">
        <v>9119.81</v>
      </c>
    </row>
    <row r="95" spans="1:4" x14ac:dyDescent="0.3">
      <c r="A95" s="2" t="str">
        <f>"2.1.2.01.06- INSS s/Provisao de Ferias"</f>
        <v>2.1.2.01.06- INSS s/Provisao de Ferias</v>
      </c>
      <c r="B95" s="9">
        <v>3416533.13</v>
      </c>
      <c r="C95" s="9">
        <v>-444355.71</v>
      </c>
      <c r="D95" s="9">
        <v>2972177.42</v>
      </c>
    </row>
    <row r="96" spans="1:4" x14ac:dyDescent="0.3">
      <c r="A96" s="2" t="str">
        <f>"2.1.2.01.07- AEB - Assoc. Empreg. BHTRANS"</f>
        <v>2.1.2.01.07- AEB - Assoc. Empreg. BHTRANS</v>
      </c>
      <c r="B96" s="9">
        <v>1350</v>
      </c>
      <c r="C96" s="9">
        <v>-1350</v>
      </c>
      <c r="D96" s="9">
        <v>0</v>
      </c>
    </row>
    <row r="97" spans="1:4" x14ac:dyDescent="0.3">
      <c r="A97" s="2" t="str">
        <f>"2.1.2.01.09- INSS a Recolher s/Autonomos"</f>
        <v>2.1.2.01.09- INSS a Recolher s/Autonomos</v>
      </c>
      <c r="B97" s="9">
        <v>2827.5</v>
      </c>
      <c r="C97" s="9">
        <v>4474.72</v>
      </c>
      <c r="D97" s="9">
        <v>7302.22</v>
      </c>
    </row>
    <row r="98" spans="1:4" x14ac:dyDescent="0.3">
      <c r="A98" s="2" t="str">
        <f>"2.1.2.01.10- INSS s/Provisao de 13.Salario"</f>
        <v>2.1.2.01.10- INSS s/Provisao de 13.Salario</v>
      </c>
      <c r="B98" s="9">
        <v>0</v>
      </c>
      <c r="C98" s="9">
        <v>196036.9</v>
      </c>
      <c r="D98" s="9">
        <v>196036.9</v>
      </c>
    </row>
    <row r="99" spans="1:4" x14ac:dyDescent="0.3">
      <c r="A99" s="2" t="str">
        <f>"2.1.2.01.11- FGTS s/Provisao de 13.Salario"</f>
        <v>2.1.2.01.11- FGTS s/Provisao de 13.Salario</v>
      </c>
      <c r="B99" s="9">
        <v>0</v>
      </c>
      <c r="C99" s="9">
        <v>40690.9</v>
      </c>
      <c r="D99" s="9">
        <v>40690.9</v>
      </c>
    </row>
    <row r="100" spans="1:4" x14ac:dyDescent="0.3">
      <c r="A100" s="2" t="str">
        <f>"2.1.2.01.12- FGTS s/Provisao de Ferias"</f>
        <v>2.1.2.01.12- FGTS s/Provisao de Ferias</v>
      </c>
      <c r="B100" s="9">
        <v>932318.05</v>
      </c>
      <c r="C100" s="9">
        <v>-121690.5</v>
      </c>
      <c r="D100" s="9">
        <v>810627.55</v>
      </c>
    </row>
    <row r="101" spans="1:4" x14ac:dyDescent="0.3">
      <c r="A101" s="2" t="str">
        <f>"2.1.2.01.15- Crediserv-BH"</f>
        <v>2.1.2.01.15- Crediserv-BH</v>
      </c>
      <c r="B101" s="9">
        <v>21284.44</v>
      </c>
      <c r="C101" s="9">
        <v>1037.83</v>
      </c>
      <c r="D101" s="9">
        <v>22322.27</v>
      </c>
    </row>
    <row r="102" spans="1:4" x14ac:dyDescent="0.3">
      <c r="A102" s="2" t="str">
        <f>"2.1.2.01.16- INSS Fonte a Recolher - PJ"</f>
        <v>2.1.2.01.16- INSS Fonte a Recolher - PJ</v>
      </c>
      <c r="B102" s="9">
        <v>383290.46</v>
      </c>
      <c r="C102" s="9">
        <v>-58654.61</v>
      </c>
      <c r="D102" s="9">
        <v>324635.84999999998</v>
      </c>
    </row>
    <row r="103" spans="1:4" x14ac:dyDescent="0.3">
      <c r="A103" s="2" t="str">
        <f>"2.1.2.01.18- INSS Fonte a Recolher - P F"</f>
        <v>2.1.2.01.18- INSS Fonte a Recolher - P F</v>
      </c>
      <c r="B103" s="9">
        <v>1168.96</v>
      </c>
      <c r="C103" s="9">
        <v>1473.2</v>
      </c>
      <c r="D103" s="9">
        <v>2642.16</v>
      </c>
    </row>
    <row r="104" spans="1:4" x14ac:dyDescent="0.3">
      <c r="A104" s="2" t="str">
        <f>"2.1.3.00.00- OBRIGACOES FISCAIS A CURTO PRAZO"</f>
        <v>2.1.3.00.00- OBRIGACOES FISCAIS A CURTO PRAZO</v>
      </c>
      <c r="B104" s="9">
        <v>3022044.95</v>
      </c>
      <c r="C104" s="9">
        <v>-1214135.6000000001</v>
      </c>
      <c r="D104" s="9">
        <v>1807909.35</v>
      </c>
    </row>
    <row r="105" spans="1:4" x14ac:dyDescent="0.3">
      <c r="A105" s="2" t="str">
        <f>"2.1.3.01.00- IMPOSTOS E TAXAS A RECOLHER"</f>
        <v>2.1.3.01.00- IMPOSTOS E TAXAS A RECOLHER</v>
      </c>
      <c r="B105" s="9">
        <v>3022044.95</v>
      </c>
      <c r="C105" s="9">
        <v>-1214135.6000000001</v>
      </c>
      <c r="D105" s="9">
        <v>1807909.35</v>
      </c>
    </row>
    <row r="106" spans="1:4" x14ac:dyDescent="0.3">
      <c r="A106" s="2" t="str">
        <f>"2.1.3.01.01- IRRF Fonte Folha Pagto"</f>
        <v>2.1.3.01.01- IRRF Fonte Folha Pagto</v>
      </c>
      <c r="B106" s="9">
        <v>2578820.63</v>
      </c>
      <c r="C106" s="9">
        <v>-1165748.8400000001</v>
      </c>
      <c r="D106" s="9">
        <v>1413071.79</v>
      </c>
    </row>
    <row r="107" spans="1:4" x14ac:dyDescent="0.3">
      <c r="A107" s="2" t="str">
        <f>"2.1.3.01.03- IRRF Fonte - Pessoa  Juridica e Física"</f>
        <v>2.1.3.01.03- IRRF Fonte - Pessoa  Juridica e Física</v>
      </c>
      <c r="B107" s="9">
        <v>51081.25</v>
      </c>
      <c r="C107" s="9">
        <v>-11282.16</v>
      </c>
      <c r="D107" s="9">
        <v>39799.089999999997</v>
      </c>
    </row>
    <row r="108" spans="1:4" x14ac:dyDescent="0.3">
      <c r="A108" s="2" t="str">
        <f>"2.1.3.01.09- ISS Fonte a Recolher P.Juridica"</f>
        <v>2.1.3.01.09- ISS Fonte a Recolher P.Juridica</v>
      </c>
      <c r="B108" s="9">
        <v>37975.65</v>
      </c>
      <c r="C108" s="9">
        <v>-10980.69</v>
      </c>
      <c r="D108" s="9">
        <v>26994.959999999999</v>
      </c>
    </row>
    <row r="109" spans="1:4" x14ac:dyDescent="0.3">
      <c r="A109" s="2" t="str">
        <f>"2.1.3.01.12- CSLL-COFINS-PIS - FONTE"</f>
        <v>2.1.3.01.12- CSLL-COFINS-PIS - FONTE</v>
      </c>
      <c r="B109" s="9">
        <v>354167.42</v>
      </c>
      <c r="C109" s="9">
        <v>-26123.91</v>
      </c>
      <c r="D109" s="9">
        <v>328043.51</v>
      </c>
    </row>
    <row r="110" spans="1:4" x14ac:dyDescent="0.3">
      <c r="A110" s="2" t="str">
        <f>"2.1.4.00.00- OUTRAS OBRIGACOES A CURTO PRAZO"</f>
        <v>2.1.4.00.00- OUTRAS OBRIGACOES A CURTO PRAZO</v>
      </c>
      <c r="B110" s="9">
        <v>6134980.8300000001</v>
      </c>
      <c r="C110" s="9">
        <v>-167618.21</v>
      </c>
      <c r="D110" s="9">
        <v>5967362.6200000001</v>
      </c>
    </row>
    <row r="111" spans="1:4" x14ac:dyDescent="0.3">
      <c r="A111" s="2" t="str">
        <f>"2.1.4.01.00- FORNECEDORES"</f>
        <v>2.1.4.01.00- FORNECEDORES</v>
      </c>
      <c r="B111" s="9">
        <v>4562621.3600000003</v>
      </c>
      <c r="C111" s="9">
        <v>29561.54</v>
      </c>
      <c r="D111" s="9">
        <v>4592182.9000000004</v>
      </c>
    </row>
    <row r="112" spans="1:4" x14ac:dyDescent="0.3">
      <c r="A112" s="2" t="str">
        <f>"2.1.4.01.99- Fornecedores"</f>
        <v>2.1.4.01.99- Fornecedores</v>
      </c>
      <c r="B112" s="9">
        <v>4562621.3600000003</v>
      </c>
      <c r="C112" s="9">
        <v>29561.54</v>
      </c>
      <c r="D112" s="9">
        <v>4592182.9000000004</v>
      </c>
    </row>
    <row r="113" spans="1:4" x14ac:dyDescent="0.3">
      <c r="A113" s="2" t="str">
        <f>"2.1.4.02.00- CONTAS A PAGAR"</f>
        <v>2.1.4.02.00- CONTAS A PAGAR</v>
      </c>
      <c r="B113" s="9">
        <v>620073.5</v>
      </c>
      <c r="C113" s="9">
        <v>-197179.75</v>
      </c>
      <c r="D113" s="9">
        <v>422893.75</v>
      </c>
    </row>
    <row r="114" spans="1:4" s="12" customFormat="1" x14ac:dyDescent="0.3">
      <c r="A114" s="2" t="str">
        <f>"2.1.4.02.01- Emprestimo Consignado - Bradesco"</f>
        <v>2.1.4.02.01- Emprestimo Consignado - Bradesco</v>
      </c>
      <c r="B114" s="9">
        <v>236015.91</v>
      </c>
      <c r="C114" s="9">
        <v>-587.61</v>
      </c>
      <c r="D114" s="9">
        <v>235428.3</v>
      </c>
    </row>
    <row r="115" spans="1:4" x14ac:dyDescent="0.3">
      <c r="A115" s="2" t="str">
        <f>"2.1.4.02.03- Emprestimo Consignado - CEF"</f>
        <v>2.1.4.02.03- Emprestimo Consignado - CEF</v>
      </c>
      <c r="B115" s="9">
        <v>51551.37</v>
      </c>
      <c r="C115" s="9">
        <v>933.32</v>
      </c>
      <c r="D115" s="9">
        <v>52484.69</v>
      </c>
    </row>
    <row r="116" spans="1:4" x14ac:dyDescent="0.3">
      <c r="A116" s="2" t="str">
        <f>"2.1.4.02.04- Emprestimo Consignado - B.Brasil"</f>
        <v>2.1.4.02.04- Emprestimo Consignado - B.Brasil</v>
      </c>
      <c r="B116" s="9">
        <v>84002.67</v>
      </c>
      <c r="C116" s="9">
        <v>426.14</v>
      </c>
      <c r="D116" s="9">
        <v>84428.81</v>
      </c>
    </row>
    <row r="117" spans="1:4" x14ac:dyDescent="0.3">
      <c r="A117" s="2" t="str">
        <f>"2.1.4.02.05- Emprestimo Consignado-Banco Alfa"</f>
        <v>2.1.4.02.05- Emprestimo Consignado-Banco Alfa</v>
      </c>
      <c r="B117" s="9">
        <v>8335.8700000000008</v>
      </c>
      <c r="C117" s="9">
        <v>0</v>
      </c>
      <c r="D117" s="9">
        <v>8335.8700000000008</v>
      </c>
    </row>
    <row r="118" spans="1:4" x14ac:dyDescent="0.3">
      <c r="A118" s="2" t="str">
        <f>"2.1.4.02.99- Contas a Pagar"</f>
        <v>2.1.4.02.99- Contas a Pagar</v>
      </c>
      <c r="B118" s="9">
        <v>240167.67999999999</v>
      </c>
      <c r="C118" s="9">
        <v>-197951.6</v>
      </c>
      <c r="D118" s="9">
        <v>42216.08</v>
      </c>
    </row>
    <row r="119" spans="1:4" x14ac:dyDescent="0.3">
      <c r="A119" s="2" t="str">
        <f>"2.1.4.04.00- CAUCAO DE TERCEIROS/LEILAO"</f>
        <v>2.1.4.04.00- CAUCAO DE TERCEIROS/LEILAO</v>
      </c>
      <c r="B119" s="9">
        <v>952285.97</v>
      </c>
      <c r="C119" s="9">
        <v>0</v>
      </c>
      <c r="D119" s="9">
        <v>952285.97</v>
      </c>
    </row>
    <row r="120" spans="1:4" x14ac:dyDescent="0.3">
      <c r="A120" s="2" t="str">
        <f>"2.1.4.04.98- Leilões"</f>
        <v>2.1.4.04.98- Leilões</v>
      </c>
      <c r="B120" s="9">
        <v>857604.91</v>
      </c>
      <c r="C120" s="9">
        <v>0</v>
      </c>
      <c r="D120" s="9">
        <v>857604.91</v>
      </c>
    </row>
    <row r="121" spans="1:4" x14ac:dyDescent="0.3">
      <c r="A121" s="2" t="str">
        <f>"2.1.4.04.99- Caucao de Terceiros"</f>
        <v>2.1.4.04.99- Caucao de Terceiros</v>
      </c>
      <c r="B121" s="9">
        <v>94681.06</v>
      </c>
      <c r="C121" s="9">
        <v>0</v>
      </c>
      <c r="D121" s="9">
        <v>94681.06</v>
      </c>
    </row>
    <row r="122" spans="1:4" x14ac:dyDescent="0.3">
      <c r="A122" s="2" t="str">
        <f>"2.2.0.00.00- PASSIVO NAO CIRCULANTE"</f>
        <v>2.2.0.00.00- PASSIVO NAO CIRCULANTE</v>
      </c>
      <c r="B122" s="9">
        <v>161561383.34999999</v>
      </c>
      <c r="C122" s="9">
        <v>-5715932.0800000001</v>
      </c>
      <c r="D122" s="9">
        <v>155845451.27000001</v>
      </c>
    </row>
    <row r="123" spans="1:4" x14ac:dyDescent="0.3">
      <c r="A123" s="2" t="str">
        <f>"2.2.4.00.00- OUTRAS OBRIGACOES A LONGO PRAZO"</f>
        <v>2.2.4.00.00- OUTRAS OBRIGACOES A LONGO PRAZO</v>
      </c>
      <c r="B123" s="9">
        <v>161561383.34999999</v>
      </c>
      <c r="C123" s="9">
        <v>-5715932.0800000001</v>
      </c>
      <c r="D123" s="9">
        <v>155845451.27000001</v>
      </c>
    </row>
    <row r="124" spans="1:4" x14ac:dyDescent="0.3">
      <c r="A124" s="2" t="str">
        <f>"2.2.4.01.00- CREDORES DIVERSOS"</f>
        <v>2.2.4.01.00- CREDORES DIVERSOS</v>
      </c>
      <c r="B124" s="9">
        <v>19809200.370000001</v>
      </c>
      <c r="C124" s="9">
        <v>-5125894.37</v>
      </c>
      <c r="D124" s="9">
        <v>14683306</v>
      </c>
    </row>
    <row r="125" spans="1:4" x14ac:dyDescent="0.3">
      <c r="A125" s="2" t="str">
        <f>"2.2.4.01.02- Outros Credores Diversos"</f>
        <v>2.2.4.01.02- Outros Credores Diversos</v>
      </c>
      <c r="B125" s="9">
        <v>6572888.6299999999</v>
      </c>
      <c r="C125" s="9">
        <v>-5125894.37</v>
      </c>
      <c r="D125" s="9">
        <v>1446994.26</v>
      </c>
    </row>
    <row r="126" spans="1:4" x14ac:dyDescent="0.3">
      <c r="A126" s="2" t="str">
        <f>"2.2.4.01.04- Provisão para Contingências Fiscais"</f>
        <v>2.2.4.01.04- Provisão para Contingências Fiscais</v>
      </c>
      <c r="B126" s="9">
        <v>12294456.800000001</v>
      </c>
      <c r="C126" s="9">
        <v>0</v>
      </c>
      <c r="D126" s="9">
        <v>12294456.800000001</v>
      </c>
    </row>
    <row r="127" spans="1:4" x14ac:dyDescent="0.3">
      <c r="A127" s="2" t="str">
        <f>"2.2.4.01.05- INSS Segurados"</f>
        <v>2.2.4.01.05- INSS Segurados</v>
      </c>
      <c r="B127" s="9">
        <v>941854.94</v>
      </c>
      <c r="C127" s="9">
        <v>0</v>
      </c>
      <c r="D127" s="9">
        <v>941854.94</v>
      </c>
    </row>
    <row r="128" spans="1:4" x14ac:dyDescent="0.3">
      <c r="A128" s="2" t="str">
        <f>"2.2.4.04.00- ACOES JUDICIAIS E TRABALHISTAS"</f>
        <v>2.2.4.04.00- ACOES JUDICIAIS E TRABALHISTAS</v>
      </c>
      <c r="B128" s="9">
        <v>141752182.97999999</v>
      </c>
      <c r="C128" s="9">
        <v>-590037.71</v>
      </c>
      <c r="D128" s="9">
        <v>141162145.27000001</v>
      </c>
    </row>
    <row r="129" spans="1:4" x14ac:dyDescent="0.3">
      <c r="A129" s="2" t="str">
        <f>"2.2.4.04.01- Acoes judiciais"</f>
        <v>2.2.4.04.01- Acoes judiciais</v>
      </c>
      <c r="B129" s="9">
        <v>59595973.630000003</v>
      </c>
      <c r="C129" s="9">
        <v>0</v>
      </c>
      <c r="D129" s="9">
        <v>59595973.630000003</v>
      </c>
    </row>
    <row r="130" spans="1:4" x14ac:dyDescent="0.3">
      <c r="A130" s="2" t="str">
        <f>"2.2.4.04.02- Acoes trabalhistas"</f>
        <v>2.2.4.04.02- Acoes trabalhistas</v>
      </c>
      <c r="B130" s="9">
        <v>82156209.349999994</v>
      </c>
      <c r="C130" s="9">
        <v>-590037.71</v>
      </c>
      <c r="D130" s="9">
        <v>81566171.640000001</v>
      </c>
    </row>
    <row r="131" spans="1:4" x14ac:dyDescent="0.3">
      <c r="A131" s="2" t="str">
        <f>"2.4.0.00.00- PATRIMONIO LIQUIDO"</f>
        <v>2.4.0.00.00- PATRIMONIO LIQUIDO</v>
      </c>
      <c r="B131" s="9">
        <v>-131371314.18000001</v>
      </c>
      <c r="C131" s="9">
        <v>-964140.17</v>
      </c>
      <c r="D131" s="9">
        <v>-132335454.34999999</v>
      </c>
    </row>
    <row r="132" spans="1:4" x14ac:dyDescent="0.3">
      <c r="A132" s="2" t="str">
        <f>"2.4.1.00.00- CAPITAL SOCIAL"</f>
        <v>2.4.1.00.00- CAPITAL SOCIAL</v>
      </c>
      <c r="B132" s="9">
        <v>67418193.159999996</v>
      </c>
      <c r="C132" s="9">
        <v>0</v>
      </c>
      <c r="D132" s="9">
        <v>67418193.159999996</v>
      </c>
    </row>
    <row r="133" spans="1:4" x14ac:dyDescent="0.3">
      <c r="A133" s="2" t="str">
        <f>"2.4.1.02.00- CAPITAL REALIZADO"</f>
        <v>2.4.1.02.00- CAPITAL REALIZADO</v>
      </c>
      <c r="B133" s="9">
        <v>67418193.159999996</v>
      </c>
      <c r="C133" s="9">
        <v>0</v>
      </c>
      <c r="D133" s="9">
        <v>67418193.159999996</v>
      </c>
    </row>
    <row r="134" spans="1:4" x14ac:dyDescent="0.3">
      <c r="A134" s="2" t="str">
        <f>"2.4.1.02.01- Capital Subscrito"</f>
        <v>2.4.1.02.01- Capital Subscrito</v>
      </c>
      <c r="B134" s="9">
        <v>75000000</v>
      </c>
      <c r="C134" s="9">
        <v>0</v>
      </c>
      <c r="D134" s="9">
        <v>75000000</v>
      </c>
    </row>
    <row r="135" spans="1:4" x14ac:dyDescent="0.3">
      <c r="A135" s="2" t="str">
        <f>"2.4.1.02.04- Capital a Realizar"</f>
        <v>2.4.1.02.04- Capital a Realizar</v>
      </c>
      <c r="B135" s="9">
        <v>-7581806.8399999999</v>
      </c>
      <c r="C135" s="9">
        <v>0</v>
      </c>
      <c r="D135" s="9">
        <v>-7581806.8399999999</v>
      </c>
    </row>
    <row r="136" spans="1:4" x14ac:dyDescent="0.3">
      <c r="A136" s="2" t="str">
        <f>"2.4.3.00.00- RESULTADOS ACUMULADOS"</f>
        <v>2.4.3.00.00- RESULTADOS ACUMULADOS</v>
      </c>
      <c r="B136" s="9">
        <v>-198789507.34</v>
      </c>
      <c r="C136" s="9">
        <v>-964140.17</v>
      </c>
      <c r="D136" s="9">
        <v>-199753647.50999999</v>
      </c>
    </row>
    <row r="137" spans="1:4" x14ac:dyDescent="0.3">
      <c r="A137" s="2" t="str">
        <f>"2.4.3.01.00- LUCROS/PREJUIZOS ACUMULADOS"</f>
        <v>2.4.3.01.00- LUCROS/PREJUIZOS ACUMULADOS</v>
      </c>
      <c r="B137" s="9">
        <v>-198789507.34</v>
      </c>
      <c r="C137" s="9">
        <v>-964140.17</v>
      </c>
      <c r="D137" s="9">
        <v>-199753647.50999999</v>
      </c>
    </row>
    <row r="138" spans="1:4" x14ac:dyDescent="0.3">
      <c r="A138" s="2" t="str">
        <f>"2.4.3.01.01- Resultados de Exerc. Anteriores"</f>
        <v>2.4.3.01.01- Resultados de Exerc. Anteriores</v>
      </c>
      <c r="B138" s="9">
        <v>-168255377.61000001</v>
      </c>
      <c r="C138" s="9">
        <v>-30534129.73</v>
      </c>
      <c r="D138" s="9">
        <v>-198789507.34</v>
      </c>
    </row>
    <row r="139" spans="1:4" x14ac:dyDescent="0.3">
      <c r="A139" s="2" t="str">
        <f>"2.4.3.01.02- Resultado deste Exercicio"</f>
        <v>2.4.3.01.02- Resultado deste Exercicio</v>
      </c>
      <c r="B139" s="9">
        <v>-30534129.73</v>
      </c>
      <c r="C139" s="9">
        <v>29569989.559999999</v>
      </c>
      <c r="D139" s="9">
        <v>-964140.17</v>
      </c>
    </row>
    <row r="140" spans="1:4" x14ac:dyDescent="0.3">
      <c r="A140" s="2" t="str">
        <f>""</f>
        <v/>
      </c>
      <c r="B140" s="3" t="str">
        <f>""</f>
        <v/>
      </c>
      <c r="C140" s="3" t="str">
        <f>""</f>
        <v/>
      </c>
      <c r="D140" s="3" t="str">
        <f>""</f>
        <v/>
      </c>
    </row>
    <row r="141" spans="1:4" x14ac:dyDescent="0.3">
      <c r="A141" s="2" t="str">
        <f>"DESPESAS"</f>
        <v>DESPESAS</v>
      </c>
      <c r="B141" s="3" t="str">
        <f>""</f>
        <v/>
      </c>
      <c r="C141" s="3" t="str">
        <f>""</f>
        <v/>
      </c>
      <c r="D141" s="3" t="str">
        <f>""</f>
        <v/>
      </c>
    </row>
    <row r="142" spans="1:4" x14ac:dyDescent="0.3">
      <c r="A142" s="2" t="str">
        <f>"3.0.0.00.00- DESPESAS"</f>
        <v>3.0.0.00.00- DESPESAS</v>
      </c>
      <c r="B142" s="9">
        <v>0</v>
      </c>
      <c r="C142" s="9">
        <v>18882725.34</v>
      </c>
      <c r="D142" s="9">
        <v>18882725.34</v>
      </c>
    </row>
    <row r="143" spans="1:4" x14ac:dyDescent="0.3">
      <c r="A143" s="2" t="str">
        <f>"3.1.0.00.00- DESPESAS OPERACIONAIS"</f>
        <v>3.1.0.00.00- DESPESAS OPERACIONAIS</v>
      </c>
      <c r="B143" s="9">
        <v>0</v>
      </c>
      <c r="C143" s="9">
        <v>18882725.34</v>
      </c>
      <c r="D143" s="9">
        <v>18882725.34</v>
      </c>
    </row>
    <row r="144" spans="1:4" x14ac:dyDescent="0.3">
      <c r="A144" s="2" t="str">
        <f>"3.1.1.00.00- SALARIOS ADICIONAIS E HONORARIOS"</f>
        <v>3.1.1.00.00- SALARIOS ADICIONAIS E HONORARIOS</v>
      </c>
      <c r="B144" s="9">
        <v>0</v>
      </c>
      <c r="C144" s="9">
        <v>9349066.6600000001</v>
      </c>
      <c r="D144" s="9">
        <v>9349066.6600000001</v>
      </c>
    </row>
    <row r="145" spans="1:4" x14ac:dyDescent="0.3">
      <c r="A145" s="2" t="str">
        <f>"3.1.1.00.01- Honorarios diretoria"</f>
        <v>3.1.1.00.01- Honorarios diretoria</v>
      </c>
      <c r="B145" s="9">
        <v>0</v>
      </c>
      <c r="C145" s="9">
        <v>70765.279999999999</v>
      </c>
      <c r="D145" s="9">
        <v>70765.279999999999</v>
      </c>
    </row>
    <row r="146" spans="1:4" x14ac:dyDescent="0.3">
      <c r="A146" s="2" t="str">
        <f>"3.1.1.00.02- Honorarios conselho fiscal"</f>
        <v>3.1.1.00.02- Honorarios conselho fiscal</v>
      </c>
      <c r="B146" s="9">
        <v>0</v>
      </c>
      <c r="C146" s="9">
        <v>7151.25</v>
      </c>
      <c r="D146" s="9">
        <v>7151.25</v>
      </c>
    </row>
    <row r="147" spans="1:4" x14ac:dyDescent="0.3">
      <c r="A147" s="2" t="str">
        <f>"3.1.1.00.03- Honorarios cons. administracao"</f>
        <v>3.1.1.00.03- Honorarios cons. administracao</v>
      </c>
      <c r="B147" s="9">
        <v>0</v>
      </c>
      <c r="C147" s="9">
        <v>24538.6</v>
      </c>
      <c r="D147" s="9">
        <v>24538.6</v>
      </c>
    </row>
    <row r="148" spans="1:4" x14ac:dyDescent="0.3">
      <c r="A148" s="2" t="str">
        <f>"3.1.1.00.04- Salarios e adicionais"</f>
        <v>3.1.1.00.04- Salarios e adicionais</v>
      </c>
      <c r="B148" s="9">
        <v>0</v>
      </c>
      <c r="C148" s="9">
        <v>6684703.0300000003</v>
      </c>
      <c r="D148" s="9">
        <v>6684703.0300000003</v>
      </c>
    </row>
    <row r="149" spans="1:4" x14ac:dyDescent="0.3">
      <c r="A149" s="2" t="str">
        <f>"3.1.1.00.05- Ferias e abono pecuniario"</f>
        <v>3.1.1.00.05- Ferias e abono pecuniario</v>
      </c>
      <c r="B149" s="9">
        <v>0</v>
      </c>
      <c r="C149" s="9">
        <v>1044647.33</v>
      </c>
      <c r="D149" s="9">
        <v>1044647.33</v>
      </c>
    </row>
    <row r="150" spans="1:4" x14ac:dyDescent="0.3">
      <c r="A150" s="2" t="str">
        <f>"3.1.1.00.06- Decimo terceiro salario"</f>
        <v>3.1.1.00.06- Decimo terceiro salario</v>
      </c>
      <c r="B150" s="9">
        <v>0</v>
      </c>
      <c r="C150" s="9">
        <v>678457.51</v>
      </c>
      <c r="D150" s="9">
        <v>678457.51</v>
      </c>
    </row>
    <row r="151" spans="1:4" x14ac:dyDescent="0.3">
      <c r="A151" s="2" t="str">
        <f>"3.1.1.00.07- Indenizacoes trabalhistas"</f>
        <v>3.1.1.00.07- Indenizacoes trabalhistas</v>
      </c>
      <c r="B151" s="9">
        <v>0</v>
      </c>
      <c r="C151" s="9">
        <v>811583.64</v>
      </c>
      <c r="D151" s="9">
        <v>811583.64</v>
      </c>
    </row>
    <row r="152" spans="1:4" x14ac:dyDescent="0.3">
      <c r="A152" s="2" t="str">
        <f>"3.1.1.00.08- Bolsas de estagiario"</f>
        <v>3.1.1.00.08- Bolsas de estagiario</v>
      </c>
      <c r="B152" s="9">
        <v>0</v>
      </c>
      <c r="C152" s="9">
        <v>27220.02</v>
      </c>
      <c r="D152" s="9">
        <v>27220.02</v>
      </c>
    </row>
    <row r="153" spans="1:4" x14ac:dyDescent="0.3">
      <c r="A153" s="2" t="str">
        <f>"3.1.2.01.00- ENCARGOS SOCIAIS"</f>
        <v>3.1.2.01.00- ENCARGOS SOCIAIS</v>
      </c>
      <c r="B153" s="9">
        <v>0</v>
      </c>
      <c r="C153" s="9">
        <v>3142852.29</v>
      </c>
      <c r="D153" s="9">
        <v>3142852.29</v>
      </c>
    </row>
    <row r="154" spans="1:4" x14ac:dyDescent="0.3">
      <c r="A154" s="2" t="str">
        <f>"3.1.2.01.01- INSS"</f>
        <v>3.1.2.01.01- INSS</v>
      </c>
      <c r="B154" s="9">
        <v>0</v>
      </c>
      <c r="C154" s="9">
        <v>2416306.39</v>
      </c>
      <c r="D154" s="9">
        <v>2416306.39</v>
      </c>
    </row>
    <row r="155" spans="1:4" x14ac:dyDescent="0.3">
      <c r="A155" s="2" t="str">
        <f>"3.1.2.01.02- FGTS"</f>
        <v>3.1.2.01.02- FGTS</v>
      </c>
      <c r="B155" s="9">
        <v>0</v>
      </c>
      <c r="C155" s="9">
        <v>726545.9</v>
      </c>
      <c r="D155" s="9">
        <v>726545.9</v>
      </c>
    </row>
    <row r="156" spans="1:4" x14ac:dyDescent="0.3">
      <c r="A156" s="2" t="str">
        <f>"3.1.2.02.00- OUTRAS DESPESAS COM PESSOAL"</f>
        <v>3.1.2.02.00- OUTRAS DESPESAS COM PESSOAL</v>
      </c>
      <c r="B156" s="9">
        <v>0</v>
      </c>
      <c r="C156" s="9">
        <v>1674886.04</v>
      </c>
      <c r="D156" s="9">
        <v>1674886.04</v>
      </c>
    </row>
    <row r="157" spans="1:4" x14ac:dyDescent="0.3">
      <c r="A157" s="2" t="str">
        <f>"3.1.2.02.01- Seguros de Vida"</f>
        <v>3.1.2.02.01- Seguros de Vida</v>
      </c>
      <c r="B157" s="9">
        <v>0</v>
      </c>
      <c r="C157" s="9">
        <v>8075.05</v>
      </c>
      <c r="D157" s="9">
        <v>8075.05</v>
      </c>
    </row>
    <row r="158" spans="1:4" x14ac:dyDescent="0.3">
      <c r="A158" s="2" t="str">
        <f>"3.1.2.02.02- Ass. Medica Odontologica"</f>
        <v>3.1.2.02.02- Ass. Medica Odontologica</v>
      </c>
      <c r="B158" s="9">
        <v>0</v>
      </c>
      <c r="C158" s="9">
        <v>707733.41</v>
      </c>
      <c r="D158" s="9">
        <v>707733.41</v>
      </c>
    </row>
    <row r="159" spans="1:4" x14ac:dyDescent="0.3">
      <c r="A159" s="2" t="str">
        <f>"3.1.2.02.03- Vale Transporte"</f>
        <v>3.1.2.02.03- Vale Transporte</v>
      </c>
      <c r="B159" s="9">
        <v>0</v>
      </c>
      <c r="C159" s="9">
        <v>57163.09</v>
      </c>
      <c r="D159" s="9">
        <v>57163.09</v>
      </c>
    </row>
    <row r="160" spans="1:4" x14ac:dyDescent="0.3">
      <c r="A160" s="2" t="str">
        <f>"3.1.2.02.04- Vale Refeicao/Alimentacao"</f>
        <v>3.1.2.02.04- Vale Refeicao/Alimentacao</v>
      </c>
      <c r="B160" s="9">
        <v>0</v>
      </c>
      <c r="C160" s="9">
        <v>881438.18</v>
      </c>
      <c r="D160" s="9">
        <v>881438.18</v>
      </c>
    </row>
    <row r="161" spans="1:4" x14ac:dyDescent="0.3">
      <c r="A161" s="2" t="str">
        <f>"3.1.2.02.05- Compl. Auxilio Doenca"</f>
        <v>3.1.2.02.05- Compl. Auxilio Doenca</v>
      </c>
      <c r="B161" s="9">
        <v>0</v>
      </c>
      <c r="C161" s="9">
        <v>3803.32</v>
      </c>
      <c r="D161" s="9">
        <v>3803.32</v>
      </c>
    </row>
    <row r="162" spans="1:4" x14ac:dyDescent="0.3">
      <c r="A162" s="2" t="str">
        <f>"3.1.2.02.07- Auxilio Creche"</f>
        <v>3.1.2.02.07- Auxilio Creche</v>
      </c>
      <c r="B162" s="9">
        <v>0</v>
      </c>
      <c r="C162" s="9">
        <v>16672.990000000002</v>
      </c>
      <c r="D162" s="9">
        <v>16672.990000000002</v>
      </c>
    </row>
    <row r="163" spans="1:4" x14ac:dyDescent="0.3">
      <c r="A163" s="2" t="str">
        <f>"3.1.3.00.00- MATERIAIS"</f>
        <v>3.1.3.00.00- MATERIAIS</v>
      </c>
      <c r="B163" s="9">
        <v>0</v>
      </c>
      <c r="C163" s="9">
        <v>30212.94</v>
      </c>
      <c r="D163" s="9">
        <v>30212.94</v>
      </c>
    </row>
    <row r="164" spans="1:4" x14ac:dyDescent="0.3">
      <c r="A164" s="2" t="str">
        <f>"3.1.3.00.08- Material seguranca e uniformes"</f>
        <v>3.1.3.00.08- Material seguranca e uniformes</v>
      </c>
      <c r="B164" s="9">
        <v>0</v>
      </c>
      <c r="C164" s="9">
        <v>641.34</v>
      </c>
      <c r="D164" s="9">
        <v>641.34</v>
      </c>
    </row>
    <row r="165" spans="1:4" x14ac:dyDescent="0.3">
      <c r="A165" s="2" t="str">
        <f>"3.1.3.00.09- Material limp/conserv/copa/cozin"</f>
        <v>3.1.3.00.09- Material limp/conserv/copa/cozin</v>
      </c>
      <c r="B165" s="9">
        <v>0</v>
      </c>
      <c r="C165" s="9">
        <v>13074.25</v>
      </c>
      <c r="D165" s="9">
        <v>13074.25</v>
      </c>
    </row>
    <row r="166" spans="1:4" x14ac:dyDescent="0.3">
      <c r="A166" s="2" t="str">
        <f>"3.1.3.00.10- Impressos e material de escritorio"</f>
        <v>3.1.3.00.10- Impressos e material de escritorio</v>
      </c>
      <c r="B166" s="9">
        <v>0</v>
      </c>
      <c r="C166" s="9">
        <v>5211.33</v>
      </c>
      <c r="D166" s="9">
        <v>5211.33</v>
      </c>
    </row>
    <row r="167" spans="1:4" x14ac:dyDescent="0.3">
      <c r="A167" s="2" t="str">
        <f>"3.1.3.00.11- Materiais manut. inst. prediais"</f>
        <v>3.1.3.00.11- Materiais manut. inst. prediais</v>
      </c>
      <c r="B167" s="9">
        <v>0</v>
      </c>
      <c r="C167" s="9">
        <v>9104.73</v>
      </c>
      <c r="D167" s="9">
        <v>9104.73</v>
      </c>
    </row>
    <row r="168" spans="1:4" x14ac:dyDescent="0.3">
      <c r="A168" s="2" t="str">
        <f>"3.1.3.00.15- Materiais e supriment informatic"</f>
        <v>3.1.3.00.15- Materiais e supriment informatic</v>
      </c>
      <c r="B168" s="9">
        <v>0</v>
      </c>
      <c r="C168" s="9">
        <v>178.8</v>
      </c>
      <c r="D168" s="9">
        <v>178.8</v>
      </c>
    </row>
    <row r="169" spans="1:4" x14ac:dyDescent="0.3">
      <c r="A169" s="2" t="str">
        <f>"3.1.3.00.99- Outros materiais"</f>
        <v>3.1.3.00.99- Outros materiais</v>
      </c>
      <c r="B169" s="9">
        <v>0</v>
      </c>
      <c r="C169" s="9">
        <v>2002.49</v>
      </c>
      <c r="D169" s="9">
        <v>2002.49</v>
      </c>
    </row>
    <row r="170" spans="1:4" x14ac:dyDescent="0.3">
      <c r="A170" s="2" t="str">
        <f>"3.1.4.00.00- SERVICOS PRESTADOS POR TERCEIROS"</f>
        <v>3.1.4.00.00- SERVICOS PRESTADOS POR TERCEIROS</v>
      </c>
      <c r="B170" s="9">
        <v>0</v>
      </c>
      <c r="C170" s="9">
        <v>4018000.64</v>
      </c>
      <c r="D170" s="9">
        <v>4018000.64</v>
      </c>
    </row>
    <row r="171" spans="1:4" x14ac:dyDescent="0.3">
      <c r="A171" s="2" t="str">
        <f>"3.1.4.00.01- Consultoria"</f>
        <v>3.1.4.00.01- Consultoria</v>
      </c>
      <c r="B171" s="9">
        <v>0</v>
      </c>
      <c r="C171" s="9">
        <v>455.73</v>
      </c>
      <c r="D171" s="9">
        <v>455.73</v>
      </c>
    </row>
    <row r="172" spans="1:4" x14ac:dyDescent="0.3">
      <c r="A172" s="2" t="str">
        <f>"3.1.4.00.02- Locacao de veiculos"</f>
        <v>3.1.4.00.02- Locacao de veiculos</v>
      </c>
      <c r="B172" s="9">
        <v>0</v>
      </c>
      <c r="C172" s="9">
        <v>6432.84</v>
      </c>
      <c r="D172" s="9">
        <v>6432.84</v>
      </c>
    </row>
    <row r="173" spans="1:4" x14ac:dyDescent="0.3">
      <c r="A173" s="2" t="str">
        <f>"3.1.4.00.03- Locacao de equipamentos"</f>
        <v>3.1.4.00.03- Locacao de equipamentos</v>
      </c>
      <c r="B173" s="9">
        <v>0</v>
      </c>
      <c r="C173" s="9">
        <v>1636.24</v>
      </c>
      <c r="D173" s="9">
        <v>1636.24</v>
      </c>
    </row>
    <row r="174" spans="1:4" x14ac:dyDescent="0.3">
      <c r="A174" s="2" t="str">
        <f>"3.1.4.00.10- Mao de obra contratada"</f>
        <v>3.1.4.00.10- Mao de obra contratada</v>
      </c>
      <c r="B174" s="9">
        <v>0</v>
      </c>
      <c r="C174" s="9">
        <v>2865987.22</v>
      </c>
      <c r="D174" s="9">
        <v>2865987.22</v>
      </c>
    </row>
    <row r="175" spans="1:4" x14ac:dyDescent="0.3">
      <c r="A175" s="2" t="str">
        <f>"3.1.4.00.13- Publicidade e divulgacao"</f>
        <v>3.1.4.00.13- Publicidade e divulgacao</v>
      </c>
      <c r="B175" s="9">
        <v>0</v>
      </c>
      <c r="C175" s="9">
        <v>595.44000000000005</v>
      </c>
      <c r="D175" s="9">
        <v>595.44000000000005</v>
      </c>
    </row>
    <row r="176" spans="1:4" x14ac:dyDescent="0.3">
      <c r="A176" s="2" t="str">
        <f>"3.1.4.00.14- Informatica-serv. e/ou locacao"</f>
        <v>3.1.4.00.14- Informatica-serv. e/ou locacao</v>
      </c>
      <c r="B176" s="9">
        <v>0</v>
      </c>
      <c r="C176" s="9">
        <v>328068.52</v>
      </c>
      <c r="D176" s="9">
        <v>328068.52</v>
      </c>
    </row>
    <row r="177" spans="1:4" x14ac:dyDescent="0.3">
      <c r="A177" s="2" t="str">
        <f>"3.1.4.00.15- Outros serv. prestados - PF"</f>
        <v>3.1.4.00.15- Outros serv. prestados - PF</v>
      </c>
      <c r="B177" s="9">
        <v>0</v>
      </c>
      <c r="C177" s="9">
        <v>36500.400000000001</v>
      </c>
      <c r="D177" s="9">
        <v>36500.400000000001</v>
      </c>
    </row>
    <row r="178" spans="1:4" x14ac:dyDescent="0.3">
      <c r="A178" s="2" t="str">
        <f>"3.1.4.00.16- Outros serv. Prestados - PJ"</f>
        <v>3.1.4.00.16- Outros serv. Prestados - PJ</v>
      </c>
      <c r="B178" s="9">
        <v>0</v>
      </c>
      <c r="C178" s="9">
        <v>383769.3</v>
      </c>
      <c r="D178" s="9">
        <v>383769.3</v>
      </c>
    </row>
    <row r="179" spans="1:4" x14ac:dyDescent="0.3">
      <c r="A179" s="2" t="str">
        <f>"3.1.4.00.17- Servicos postais"</f>
        <v>3.1.4.00.17- Servicos postais</v>
      </c>
      <c r="B179" s="9">
        <v>0</v>
      </c>
      <c r="C179" s="9">
        <v>6180.24</v>
      </c>
      <c r="D179" s="9">
        <v>6180.24</v>
      </c>
    </row>
    <row r="180" spans="1:4" x14ac:dyDescent="0.3">
      <c r="A180" s="2" t="str">
        <f>"3.1.4.00.26- Serv.limp.conserv."</f>
        <v>3.1.4.00.26- Serv.limp.conserv.</v>
      </c>
      <c r="B180" s="9">
        <v>0</v>
      </c>
      <c r="C180" s="9">
        <v>252609.35</v>
      </c>
      <c r="D180" s="9">
        <v>252609.35</v>
      </c>
    </row>
    <row r="181" spans="1:4" x14ac:dyDescent="0.3">
      <c r="A181" s="2" t="str">
        <f>"3.1.4.00.33- Vale Ref./Al.terceir."</f>
        <v>3.1.4.00.33- Vale Ref./Al.terceir.</v>
      </c>
      <c r="B181" s="9">
        <v>0</v>
      </c>
      <c r="C181" s="9">
        <v>80997.509999999995</v>
      </c>
      <c r="D181" s="9">
        <v>80997.509999999995</v>
      </c>
    </row>
    <row r="182" spans="1:4" x14ac:dyDescent="0.3">
      <c r="A182" s="2" t="str">
        <f>"3.1.4.00.34- Comissao s/venda rotativo"</f>
        <v>3.1.4.00.34- Comissao s/venda rotativo</v>
      </c>
      <c r="B182" s="9">
        <v>0</v>
      </c>
      <c r="C182" s="9">
        <v>5707.84</v>
      </c>
      <c r="D182" s="9">
        <v>5707.84</v>
      </c>
    </row>
    <row r="183" spans="1:4" x14ac:dyDescent="0.3">
      <c r="A183" s="2" t="str">
        <f>"3.1.4.00.36- (-) Desconto ISSQN conf Lei 9145 serv. P"</f>
        <v>3.1.4.00.36- (-) Desconto ISSQN conf Lei 9145 serv. P</v>
      </c>
      <c r="B183" s="9">
        <v>0</v>
      </c>
      <c r="C183" s="9">
        <v>-184273.32</v>
      </c>
      <c r="D183" s="9">
        <v>-184273.32</v>
      </c>
    </row>
    <row r="184" spans="1:4" x14ac:dyDescent="0.3">
      <c r="A184" s="2" t="str">
        <f>"3.1.4.00.39- Convênio Guarda Municipal"</f>
        <v>3.1.4.00.39- Convênio Guarda Municipal</v>
      </c>
      <c r="B184" s="9">
        <v>0</v>
      </c>
      <c r="C184" s="9">
        <v>233333.33</v>
      </c>
      <c r="D184" s="9">
        <v>233333.33</v>
      </c>
    </row>
    <row r="185" spans="1:4" x14ac:dyDescent="0.3">
      <c r="A185" s="2" t="str">
        <f>"3.1.5.00.00- TARIFAS PUBLICAS"</f>
        <v>3.1.5.00.00- TARIFAS PUBLICAS</v>
      </c>
      <c r="B185" s="9">
        <v>0</v>
      </c>
      <c r="C185" s="9">
        <v>118274.98</v>
      </c>
      <c r="D185" s="9">
        <v>118274.98</v>
      </c>
    </row>
    <row r="186" spans="1:4" x14ac:dyDescent="0.3">
      <c r="A186" s="2" t="str">
        <f>"3.1.5.00.02- Energia eletrica"</f>
        <v>3.1.5.00.02- Energia eletrica</v>
      </c>
      <c r="B186" s="9">
        <v>0</v>
      </c>
      <c r="C186" s="9">
        <v>77085.350000000006</v>
      </c>
      <c r="D186" s="9">
        <v>77085.350000000006</v>
      </c>
    </row>
    <row r="187" spans="1:4" x14ac:dyDescent="0.3">
      <c r="A187" s="2" t="str">
        <f>"3.1.5.00.03- Telefone"</f>
        <v>3.1.5.00.03- Telefone</v>
      </c>
      <c r="B187" s="9">
        <v>0</v>
      </c>
      <c r="C187" s="9">
        <v>41189.629999999997</v>
      </c>
      <c r="D187" s="9">
        <v>41189.629999999997</v>
      </c>
    </row>
    <row r="188" spans="1:4" x14ac:dyDescent="0.3">
      <c r="A188" s="2" t="str">
        <f>"3.1.6.00.00- DESPESAS TRIBUTARIAS"</f>
        <v>3.1.6.00.00- DESPESAS TRIBUTARIAS</v>
      </c>
      <c r="B188" s="9">
        <v>0</v>
      </c>
      <c r="C188" s="9">
        <v>252805.44</v>
      </c>
      <c r="D188" s="9">
        <v>252805.44</v>
      </c>
    </row>
    <row r="189" spans="1:4" x14ac:dyDescent="0.3">
      <c r="A189" s="2" t="str">
        <f>"3.1.6.00.06- PIS"</f>
        <v>3.1.6.00.06- PIS</v>
      </c>
      <c r="B189" s="9">
        <v>0</v>
      </c>
      <c r="C189" s="9">
        <v>42477.440000000002</v>
      </c>
      <c r="D189" s="9">
        <v>42477.440000000002</v>
      </c>
    </row>
    <row r="190" spans="1:4" x14ac:dyDescent="0.3">
      <c r="A190" s="2" t="str">
        <f>"3.1.6.00.07- COFINS"</f>
        <v>3.1.6.00.07- COFINS</v>
      </c>
      <c r="B190" s="9">
        <v>0</v>
      </c>
      <c r="C190" s="9">
        <v>195653.67</v>
      </c>
      <c r="D190" s="9">
        <v>195653.67</v>
      </c>
    </row>
    <row r="191" spans="1:4" x14ac:dyDescent="0.3">
      <c r="A191" s="2" t="str">
        <f>"3.1.6.00.15- INSS Serv.terceiros"</f>
        <v>3.1.6.00.15- INSS Serv.terceiros</v>
      </c>
      <c r="B191" s="9">
        <v>0</v>
      </c>
      <c r="C191" s="9">
        <v>7302.22</v>
      </c>
      <c r="D191" s="9">
        <v>7302.22</v>
      </c>
    </row>
    <row r="192" spans="1:4" x14ac:dyDescent="0.3">
      <c r="A192" s="2" t="str">
        <f>"3.1.6.00.17- PIS s/ receitas financeiras"</f>
        <v>3.1.6.00.17- PIS s/ receitas financeiras</v>
      </c>
      <c r="B192" s="9">
        <v>0</v>
      </c>
      <c r="C192" s="9">
        <v>1030.51</v>
      </c>
      <c r="D192" s="9">
        <v>1030.51</v>
      </c>
    </row>
    <row r="193" spans="1:4" x14ac:dyDescent="0.3">
      <c r="A193" s="2" t="str">
        <f>"3.1.6.00.18- Cofins s/ receitas financeiras"</f>
        <v>3.1.6.00.18- Cofins s/ receitas financeiras</v>
      </c>
      <c r="B193" s="9">
        <v>0</v>
      </c>
      <c r="C193" s="9">
        <v>6341.6</v>
      </c>
      <c r="D193" s="9">
        <v>6341.6</v>
      </c>
    </row>
    <row r="194" spans="1:4" x14ac:dyDescent="0.3">
      <c r="A194" s="2" t="str">
        <f>"3.1.7.00.00- DESPESAS FINANCEIRAS"</f>
        <v>3.1.7.00.00- DESPESAS FINANCEIRAS</v>
      </c>
      <c r="B194" s="9">
        <v>0</v>
      </c>
      <c r="C194" s="9">
        <v>81.040000000000006</v>
      </c>
      <c r="D194" s="9">
        <v>81.040000000000006</v>
      </c>
    </row>
    <row r="195" spans="1:4" x14ac:dyDescent="0.3">
      <c r="A195" s="2" t="str">
        <f>"3.1.7.01.02- Despesas bancarias"</f>
        <v>3.1.7.01.02- Despesas bancarias</v>
      </c>
      <c r="B195" s="9">
        <v>0</v>
      </c>
      <c r="C195" s="9">
        <v>81.040000000000006</v>
      </c>
      <c r="D195" s="9">
        <v>81.040000000000006</v>
      </c>
    </row>
    <row r="196" spans="1:4" x14ac:dyDescent="0.3">
      <c r="A196" s="2" t="str">
        <f>"3.1.8.00.00- OUTRAS DESPESAS"</f>
        <v>3.1.8.00.00- OUTRAS DESPESAS</v>
      </c>
      <c r="B196" s="9">
        <v>0</v>
      </c>
      <c r="C196" s="9">
        <v>296545.31</v>
      </c>
      <c r="D196" s="9">
        <v>296545.31</v>
      </c>
    </row>
    <row r="197" spans="1:4" x14ac:dyDescent="0.3">
      <c r="A197" s="2" t="str">
        <f>"3.1.8.00.05- Depreciacao/amort"</f>
        <v>3.1.8.00.05- Depreciacao/amort</v>
      </c>
      <c r="B197" s="9">
        <v>0</v>
      </c>
      <c r="C197" s="9">
        <v>26336.38</v>
      </c>
      <c r="D197" s="9">
        <v>26336.38</v>
      </c>
    </row>
    <row r="198" spans="1:4" x14ac:dyDescent="0.3">
      <c r="A198" s="2" t="str">
        <f>"3.1.8.00.06- Seguros bens moveis e imoveis"</f>
        <v>3.1.8.00.06- Seguros bens moveis e imoveis</v>
      </c>
      <c r="B198" s="9">
        <v>0</v>
      </c>
      <c r="C198" s="9">
        <v>2084.13</v>
      </c>
      <c r="D198" s="9">
        <v>2084.13</v>
      </c>
    </row>
    <row r="199" spans="1:4" x14ac:dyDescent="0.3">
      <c r="A199" s="2" t="str">
        <f>"3.1.8.00.16- Baixa de imobilizado"</f>
        <v>3.1.8.00.16- Baixa de imobilizado</v>
      </c>
      <c r="B199" s="9">
        <v>0</v>
      </c>
      <c r="C199" s="9">
        <v>2609.42</v>
      </c>
      <c r="D199" s="9">
        <v>2609.42</v>
      </c>
    </row>
    <row r="200" spans="1:4" x14ac:dyDescent="0.3">
      <c r="A200" s="2" t="str">
        <f>"3.1.8.00.23- Custas/Despesas Judiciais"</f>
        <v>3.1.8.00.23- Custas/Despesas Judiciais</v>
      </c>
      <c r="B200" s="9">
        <v>0</v>
      </c>
      <c r="C200" s="9">
        <v>3717.3</v>
      </c>
      <c r="D200" s="9">
        <v>3717.3</v>
      </c>
    </row>
    <row r="201" spans="1:4" s="12" customFormat="1" x14ac:dyDescent="0.3">
      <c r="A201" s="2" t="str">
        <f>"3.1.8.00.30- Estacionamento Rotativo Digital"</f>
        <v>3.1.8.00.30- Estacionamento Rotativo Digital</v>
      </c>
      <c r="B201" s="9">
        <v>0</v>
      </c>
      <c r="C201" s="9">
        <v>261798.08</v>
      </c>
      <c r="D201" s="9">
        <v>261798.08</v>
      </c>
    </row>
    <row r="202" spans="1:4" s="12" customFormat="1" x14ac:dyDescent="0.3">
      <c r="A202" s="2" t="str">
        <f>""</f>
        <v/>
      </c>
      <c r="B202" s="3" t="str">
        <f>""</f>
        <v/>
      </c>
      <c r="C202" s="3" t="str">
        <f>""</f>
        <v/>
      </c>
      <c r="D202" s="3" t="str">
        <f>""</f>
        <v/>
      </c>
    </row>
    <row r="203" spans="1:4" x14ac:dyDescent="0.3">
      <c r="A203" s="2" t="str">
        <f>"RECEITAS"</f>
        <v>RECEITAS</v>
      </c>
      <c r="B203" s="3" t="str">
        <f>""</f>
        <v/>
      </c>
      <c r="C203" s="3" t="str">
        <f>""</f>
        <v/>
      </c>
      <c r="D203" s="3" t="str">
        <f>""</f>
        <v/>
      </c>
    </row>
    <row r="204" spans="1:4" x14ac:dyDescent="0.3">
      <c r="A204" s="2" t="str">
        <f>"4.0.0.00.00- RECEITAS"</f>
        <v>4.0.0.00.00- RECEITAS</v>
      </c>
      <c r="B204" s="9">
        <v>0</v>
      </c>
      <c r="C204" s="9">
        <v>17918585.170000002</v>
      </c>
      <c r="D204" s="9">
        <v>17918585.170000002</v>
      </c>
    </row>
    <row r="205" spans="1:4" x14ac:dyDescent="0.3">
      <c r="A205" s="2" t="str">
        <f>"4.1.0.00.00- RECEITAS BHTRANS"</f>
        <v>4.1.0.00.00- RECEITAS BHTRANS</v>
      </c>
      <c r="B205" s="9">
        <v>0</v>
      </c>
      <c r="C205" s="9">
        <v>2537627.94</v>
      </c>
      <c r="D205" s="9">
        <v>2537627.94</v>
      </c>
    </row>
    <row r="206" spans="1:4" x14ac:dyDescent="0.3">
      <c r="A206" s="2" t="str">
        <f>"4.1.1.00.00- RECEITAS OPERACIONAIS"</f>
        <v>4.1.1.00.00- RECEITAS OPERACIONAIS</v>
      </c>
      <c r="B206" s="9">
        <v>0</v>
      </c>
      <c r="C206" s="9">
        <v>2400750</v>
      </c>
      <c r="D206" s="9">
        <v>2400750</v>
      </c>
    </row>
    <row r="207" spans="1:4" x14ac:dyDescent="0.3">
      <c r="A207" s="2" t="str">
        <f>"4.1.1.00.21- Estacionamento Rotativo Digital"</f>
        <v>4.1.1.00.21- Estacionamento Rotativo Digital</v>
      </c>
      <c r="B207" s="9">
        <v>0</v>
      </c>
      <c r="C207" s="9">
        <v>2400750</v>
      </c>
      <c r="D207" s="9">
        <v>2400750</v>
      </c>
    </row>
    <row r="208" spans="1:4" x14ac:dyDescent="0.3">
      <c r="A208" s="2" t="str">
        <f>"4.1.8.00.00- RECEITAS ALUGUEIS ESTACOES"</f>
        <v>4.1.8.00.00- RECEITAS ALUGUEIS ESTACOES</v>
      </c>
      <c r="B208" s="9">
        <v>0</v>
      </c>
      <c r="C208" s="9">
        <v>136877.94</v>
      </c>
      <c r="D208" s="9">
        <v>136877.94</v>
      </c>
    </row>
    <row r="209" spans="1:5" x14ac:dyDescent="0.3">
      <c r="A209" s="2" t="str">
        <f>"4.1.8.00.01- Alugueis Estacoes"</f>
        <v>4.1.8.00.01- Alugueis Estacoes</v>
      </c>
      <c r="B209" s="9">
        <v>0</v>
      </c>
      <c r="C209" s="9">
        <v>136877.94</v>
      </c>
      <c r="D209" s="9">
        <v>136877.94</v>
      </c>
    </row>
    <row r="210" spans="1:5" s="12" customFormat="1" x14ac:dyDescent="0.3">
      <c r="A210" s="2" t="str">
        <f>"4.2.0.00.00- RECEITAS FINANCEIRAS"</f>
        <v>4.2.0.00.00- RECEITAS FINANCEIRAS</v>
      </c>
      <c r="B210" s="9">
        <v>0</v>
      </c>
      <c r="C210" s="9">
        <v>158539.93</v>
      </c>
      <c r="D210" s="9">
        <v>158539.93</v>
      </c>
      <c r="E210" s="11"/>
    </row>
    <row r="211" spans="1:5" x14ac:dyDescent="0.3">
      <c r="A211" s="2" t="str">
        <f>"4.2.1.00.00- RECEITAS FINANCEIRAS"</f>
        <v>4.2.1.00.00- RECEITAS FINANCEIRAS</v>
      </c>
      <c r="B211" s="9">
        <v>0</v>
      </c>
      <c r="C211" s="9">
        <v>158539.93</v>
      </c>
      <c r="D211" s="9">
        <v>158539.93</v>
      </c>
    </row>
    <row r="212" spans="1:5" x14ac:dyDescent="0.3">
      <c r="A212" s="2" t="str">
        <f>"4.2.1.00.01- Rendimentos aplic. Financeira"</f>
        <v>4.2.1.00.01- Rendimentos aplic. Financeira</v>
      </c>
      <c r="B212" s="9">
        <v>0</v>
      </c>
      <c r="C212" s="9">
        <v>150879.28</v>
      </c>
      <c r="D212" s="9">
        <v>150879.28</v>
      </c>
    </row>
    <row r="213" spans="1:5" x14ac:dyDescent="0.3">
      <c r="A213" s="2" t="str">
        <f>"4.2.1.00.05- Receitas Financeiras"</f>
        <v>4.2.1.00.05- Receitas Financeiras</v>
      </c>
      <c r="B213" s="9">
        <v>0</v>
      </c>
      <c r="C213" s="9">
        <v>7660.65</v>
      </c>
      <c r="D213" s="9">
        <v>7660.65</v>
      </c>
    </row>
    <row r="214" spans="1:5" x14ac:dyDescent="0.3">
      <c r="A214" s="2" t="str">
        <f>"4.3.0.00.00- OUTRAS RECEITAS"</f>
        <v>4.3.0.00.00- OUTRAS RECEITAS</v>
      </c>
      <c r="B214" s="9">
        <v>0</v>
      </c>
      <c r="C214" s="9">
        <v>15222417.300000001</v>
      </c>
      <c r="D214" s="9">
        <v>15222417.300000001</v>
      </c>
    </row>
    <row r="215" spans="1:5" x14ac:dyDescent="0.3">
      <c r="A215" s="2" t="str">
        <f>"4.3.1.00.00- OUTRAS RECEITAS"</f>
        <v>4.3.1.00.00- OUTRAS RECEITAS</v>
      </c>
      <c r="B215" s="9">
        <v>0</v>
      </c>
      <c r="C215" s="9">
        <v>15222417.300000001</v>
      </c>
      <c r="D215" s="9">
        <v>15222417.300000001</v>
      </c>
    </row>
    <row r="216" spans="1:5" x14ac:dyDescent="0.3">
      <c r="A216" s="2" t="str">
        <f>"4.3.1.00.04- Receitas Diversas"</f>
        <v>4.3.1.00.04- Receitas Diversas</v>
      </c>
      <c r="B216" s="9">
        <v>0</v>
      </c>
      <c r="C216" s="9">
        <v>36762.49</v>
      </c>
      <c r="D216" s="9">
        <v>36762.49</v>
      </c>
    </row>
    <row r="217" spans="1:5" x14ac:dyDescent="0.3">
      <c r="A217" s="2" t="str">
        <f>"4.3.1.00.10- Outras Receitas- Subvenção Econ. Custeio"</f>
        <v>4.3.1.00.10- Outras Receitas- Subvenção Econ. Custeio</v>
      </c>
      <c r="B217" s="9">
        <v>0</v>
      </c>
      <c r="C217" s="9">
        <v>15185654.810000001</v>
      </c>
      <c r="D217" s="9">
        <v>15185654.810000001</v>
      </c>
    </row>
    <row r="218" spans="1:5" x14ac:dyDescent="0.3">
      <c r="A218" s="2" t="str">
        <f>""</f>
        <v/>
      </c>
      <c r="B218" s="3" t="str">
        <f>""</f>
        <v/>
      </c>
      <c r="C218" s="3" t="str">
        <f>""</f>
        <v/>
      </c>
      <c r="D218" s="3" t="str">
        <f>""</f>
        <v/>
      </c>
    </row>
    <row r="219" spans="1:5" x14ac:dyDescent="0.3">
      <c r="A219" s="2" t="str">
        <f>"APURACAO DE RESULTADOS"</f>
        <v>APURACAO DE RESULTADOS</v>
      </c>
      <c r="B219" s="3" t="str">
        <f>""</f>
        <v/>
      </c>
      <c r="C219" s="3" t="str">
        <f>""</f>
        <v/>
      </c>
      <c r="D219" s="3" t="str">
        <f>""</f>
        <v/>
      </c>
    </row>
    <row r="220" spans="1:5" x14ac:dyDescent="0.3">
      <c r="A220" s="2" t="str">
        <f>"5.0.0.00.00- APURACAO DE RESULTADOS"</f>
        <v>5.0.0.00.00- APURACAO DE RESULTADOS</v>
      </c>
      <c r="B220" s="9">
        <v>0</v>
      </c>
      <c r="C220" s="9">
        <v>-964140.17</v>
      </c>
      <c r="D220" s="9">
        <v>-964140.17</v>
      </c>
    </row>
    <row r="221" spans="1:5" x14ac:dyDescent="0.3">
      <c r="A221" s="2" t="str">
        <f>"5.1.0.00.00- APURACAO DE RESULTADOS"</f>
        <v>5.1.0.00.00- APURACAO DE RESULTADOS</v>
      </c>
      <c r="B221" s="9">
        <v>0</v>
      </c>
      <c r="C221" s="9">
        <v>-964140.17</v>
      </c>
      <c r="D221" s="9">
        <v>-964140.17</v>
      </c>
    </row>
    <row r="222" spans="1:5" x14ac:dyDescent="0.3">
      <c r="A222" s="2" t="str">
        <f>"5.1.1.00.00- APURACAO DE RESULTADOS"</f>
        <v>5.1.1.00.00- APURACAO DE RESULTADOS</v>
      </c>
      <c r="B222" s="9">
        <v>0</v>
      </c>
      <c r="C222" s="9">
        <v>-964140.17</v>
      </c>
      <c r="D222" s="9">
        <v>-964140.17</v>
      </c>
    </row>
    <row r="223" spans="1:5" x14ac:dyDescent="0.3">
      <c r="A223" s="2" t="str">
        <f>"5.1.1.00.01- Transferencia das Despesas"</f>
        <v>5.1.1.00.01- Transferencia das Despesas</v>
      </c>
      <c r="B223" s="9">
        <v>0</v>
      </c>
      <c r="C223" s="9">
        <v>-18882725.34</v>
      </c>
      <c r="D223" s="9">
        <v>-18882725.34</v>
      </c>
    </row>
    <row r="224" spans="1:5" ht="15" thickBot="1" x14ac:dyDescent="0.35">
      <c r="A224" s="4" t="str">
        <f>"5.1.1.00.02- Transferencia das Receitas"</f>
        <v>5.1.1.00.02- Transferencia das Receitas</v>
      </c>
      <c r="B224" s="10">
        <v>0</v>
      </c>
      <c r="C224" s="10">
        <v>17918585.170000002</v>
      </c>
      <c r="D224" s="10">
        <v>17918585.170000002</v>
      </c>
    </row>
    <row r="225" spans="1:1" x14ac:dyDescent="0.3">
      <c r="A225" t="s">
        <v>5</v>
      </c>
    </row>
  </sheetData>
  <pageMargins left="0.78740157499999996" right="0.78740157499999996" top="0.984251969" bottom="0.984251969" header="0.4921259845" footer="0.49212598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9E3C4-9700-4653-9D56-51B82E6D4C2D}">
  <dimension ref="A1:D231"/>
  <sheetViews>
    <sheetView workbookViewId="0">
      <selection sqref="A1:D1048576"/>
    </sheetView>
  </sheetViews>
  <sheetFormatPr defaultRowHeight="14.4" x14ac:dyDescent="0.3"/>
  <cols>
    <col min="1" max="1" width="69.5546875" bestFit="1" customWidth="1"/>
    <col min="2" max="2" width="14.33203125" bestFit="1" customWidth="1"/>
    <col min="3" max="3" width="13.88671875" bestFit="1" customWidth="1"/>
    <col min="4" max="4" width="14.33203125" bestFit="1" customWidth="1"/>
  </cols>
  <sheetData>
    <row r="1" spans="1:4" ht="18.600000000000001" thickBot="1" x14ac:dyDescent="0.4">
      <c r="A1" s="1" t="s">
        <v>6</v>
      </c>
      <c r="B1" s="1"/>
      <c r="C1" s="1"/>
      <c r="D1" s="1"/>
    </row>
    <row r="2" spans="1:4" ht="15" thickBot="1" x14ac:dyDescent="0.35">
      <c r="A2" s="7" t="s">
        <v>1</v>
      </c>
      <c r="B2" s="8" t="s">
        <v>2</v>
      </c>
      <c r="C2" s="8" t="s">
        <v>3</v>
      </c>
      <c r="D2" s="8" t="s">
        <v>4</v>
      </c>
    </row>
    <row r="3" spans="1:4" x14ac:dyDescent="0.3">
      <c r="A3" s="5" t="str">
        <f>"ATIVO"</f>
        <v>ATIVO</v>
      </c>
      <c r="B3" s="6" t="str">
        <f>""</f>
        <v/>
      </c>
      <c r="C3" s="6" t="str">
        <f>""</f>
        <v/>
      </c>
      <c r="D3" s="6" t="str">
        <f>""</f>
        <v/>
      </c>
    </row>
    <row r="4" spans="1:4" x14ac:dyDescent="0.3">
      <c r="A4" s="2" t="str">
        <f>"1.0.0.00.00- ATIVO"</f>
        <v>1.0.0.00.00- ATIVO</v>
      </c>
      <c r="B4" s="9">
        <v>55616393.950000003</v>
      </c>
      <c r="C4" s="9">
        <v>1878159.19</v>
      </c>
      <c r="D4" s="9">
        <v>57494553.140000001</v>
      </c>
    </row>
    <row r="5" spans="1:4" x14ac:dyDescent="0.3">
      <c r="A5" s="2" t="str">
        <f>"1.1.0.00.00- ATIVO CIRCULANTE"</f>
        <v>1.1.0.00.00- ATIVO CIRCULANTE</v>
      </c>
      <c r="B5" s="9">
        <v>21432530.82</v>
      </c>
      <c r="C5" s="9">
        <v>2060657.15</v>
      </c>
      <c r="D5" s="9">
        <v>23493187.969999999</v>
      </c>
    </row>
    <row r="6" spans="1:4" x14ac:dyDescent="0.3">
      <c r="A6" s="2" t="str">
        <f>"1.1.1.00.00- DISPONIVEL"</f>
        <v>1.1.1.00.00- DISPONIVEL</v>
      </c>
      <c r="B6" s="9">
        <v>13535212.83</v>
      </c>
      <c r="C6" s="9">
        <v>1771140.37</v>
      </c>
      <c r="D6" s="9">
        <v>15306353.199999999</v>
      </c>
    </row>
    <row r="7" spans="1:4" x14ac:dyDescent="0.3">
      <c r="A7" s="2" t="str">
        <f>"1.1.1.02.00- BANCOS C/MOVIMENTO"</f>
        <v>1.1.1.02.00- BANCOS C/MOVIMENTO</v>
      </c>
      <c r="B7" s="9">
        <v>0</v>
      </c>
      <c r="C7" s="9">
        <v>94258.48</v>
      </c>
      <c r="D7" s="9">
        <v>94258.48</v>
      </c>
    </row>
    <row r="8" spans="1:4" x14ac:dyDescent="0.3">
      <c r="A8" s="2" t="str">
        <f>"1.1.1.02.28- Bradesco S/A - 2602-6"</f>
        <v>1.1.1.02.28- Bradesco S/A - 2602-6</v>
      </c>
      <c r="B8" s="9">
        <v>0</v>
      </c>
      <c r="C8" s="9">
        <v>93167.15</v>
      </c>
      <c r="D8" s="9">
        <v>93167.15</v>
      </c>
    </row>
    <row r="9" spans="1:4" x14ac:dyDescent="0.3">
      <c r="A9" s="2" t="str">
        <f>"1.1.1.02.31- Caixa Econômica Federal - 94511-6 - ROT"</f>
        <v>1.1.1.02.31- Caixa Econômica Federal - 94511-6 - ROT</v>
      </c>
      <c r="B9" s="9">
        <v>0</v>
      </c>
      <c r="C9" s="9">
        <v>1091.33</v>
      </c>
      <c r="D9" s="9">
        <v>1091.33</v>
      </c>
    </row>
    <row r="10" spans="1:4" x14ac:dyDescent="0.3">
      <c r="A10" s="2" t="str">
        <f>"1.1.1.03.00- APLICACOES FINANCEIRAS"</f>
        <v>1.1.1.03.00- APLICACOES FINANCEIRAS</v>
      </c>
      <c r="B10" s="9">
        <v>11985108.91</v>
      </c>
      <c r="C10" s="9">
        <v>1662288.47</v>
      </c>
      <c r="D10" s="9">
        <v>13647397.380000001</v>
      </c>
    </row>
    <row r="11" spans="1:4" x14ac:dyDescent="0.3">
      <c r="A11" s="2" t="str">
        <f>"1.1.1.03.22- Caixa Econômica Federal - 94505-1"</f>
        <v>1.1.1.03.22- Caixa Econômica Federal - 94505-1</v>
      </c>
      <c r="B11" s="9">
        <v>2995734.18</v>
      </c>
      <c r="C11" s="9">
        <v>-1130630.17</v>
      </c>
      <c r="D11" s="9">
        <v>1865104.01</v>
      </c>
    </row>
    <row r="12" spans="1:4" x14ac:dyDescent="0.3">
      <c r="A12" s="2" t="str">
        <f>"1.1.1.03.23- Caixa Econômica Federal - 94506-0"</f>
        <v>1.1.1.03.23- Caixa Econômica Federal - 94506-0</v>
      </c>
      <c r="B12" s="9">
        <v>8706489.4100000001</v>
      </c>
      <c r="C12" s="9">
        <v>2790390.42</v>
      </c>
      <c r="D12" s="9">
        <v>11496879.83</v>
      </c>
    </row>
    <row r="13" spans="1:4" x14ac:dyDescent="0.3">
      <c r="A13" s="2" t="str">
        <f>"1.1.1.03.32- Caixa Econômica Federal - 94513-2 Mídia"</f>
        <v>1.1.1.03.32- Caixa Econômica Federal - 94513-2 Mídia</v>
      </c>
      <c r="B13" s="9">
        <v>128759.59</v>
      </c>
      <c r="C13" s="9">
        <v>1258.04</v>
      </c>
      <c r="D13" s="9">
        <v>130017.63</v>
      </c>
    </row>
    <row r="14" spans="1:4" x14ac:dyDescent="0.3">
      <c r="A14" s="2" t="str">
        <f>"1.1.1.03.36- Caixa Econômica Federal - 94528-0 Sucumb"</f>
        <v>1.1.1.03.36- Caixa Econômica Federal - 94528-0 Sucumb</v>
      </c>
      <c r="B14" s="9">
        <v>140735.42000000001</v>
      </c>
      <c r="C14" s="9">
        <v>1270.18</v>
      </c>
      <c r="D14" s="9">
        <v>142005.6</v>
      </c>
    </row>
    <row r="15" spans="1:4" x14ac:dyDescent="0.3">
      <c r="A15" s="2" t="str">
        <f>"1.1.1.03.49- Caixa Econômica Federal - 744797076-0"</f>
        <v>1.1.1.03.49- Caixa Econômica Federal - 744797076-0</v>
      </c>
      <c r="B15" s="9">
        <v>13390.31</v>
      </c>
      <c r="C15" s="9">
        <v>0</v>
      </c>
      <c r="D15" s="9">
        <v>13390.31</v>
      </c>
    </row>
    <row r="16" spans="1:4" x14ac:dyDescent="0.3">
      <c r="A16" s="2" t="str">
        <f>"1.1.1.04.00- BANCOS C/VINCULADA"</f>
        <v>1.1.1.04.00- BANCOS C/VINCULADA</v>
      </c>
      <c r="B16" s="9">
        <v>1550103.92</v>
      </c>
      <c r="C16" s="9">
        <v>14593.42</v>
      </c>
      <c r="D16" s="9">
        <v>1564697.34</v>
      </c>
    </row>
    <row r="17" spans="1:4" x14ac:dyDescent="0.3">
      <c r="A17" s="2" t="str">
        <f>"1.1.1.04.10- Caixa Econômica Federal - 94521-3 Caução"</f>
        <v>1.1.1.04.10- Caixa Econômica Federal - 94521-3 Caução</v>
      </c>
      <c r="B17" s="9">
        <v>140207.71</v>
      </c>
      <c r="C17" s="9">
        <v>1338.82</v>
      </c>
      <c r="D17" s="9">
        <v>141546.53</v>
      </c>
    </row>
    <row r="18" spans="1:4" x14ac:dyDescent="0.3">
      <c r="A18" s="2" t="str">
        <f>"1.1.1.04.12- Caixa Econômica Federal - 94627-9 Leilão"</f>
        <v>1.1.1.04.12- Caixa Econômica Federal - 94627-9 Leilão</v>
      </c>
      <c r="B18" s="9">
        <v>1409896.21</v>
      </c>
      <c r="C18" s="9">
        <v>13254.6</v>
      </c>
      <c r="D18" s="9">
        <v>1423150.81</v>
      </c>
    </row>
    <row r="19" spans="1:4" x14ac:dyDescent="0.3">
      <c r="A19" s="2" t="str">
        <f>"1.1.2.00.00- REALIZAVEL A CURTO PRAZO"</f>
        <v>1.1.2.00.00- REALIZAVEL A CURTO PRAZO</v>
      </c>
      <c r="B19" s="9">
        <v>7897317.9900000002</v>
      </c>
      <c r="C19" s="9">
        <v>289516.78000000003</v>
      </c>
      <c r="D19" s="9">
        <v>8186834.7699999996</v>
      </c>
    </row>
    <row r="20" spans="1:4" x14ac:dyDescent="0.3">
      <c r="A20" s="2" t="str">
        <f>"1.1.2.01.00- CONTAS A RECEBER"</f>
        <v>1.1.2.01.00- CONTAS A RECEBER</v>
      </c>
      <c r="B20" s="9">
        <v>253567.34</v>
      </c>
      <c r="C20" s="9">
        <v>0</v>
      </c>
      <c r="D20" s="9">
        <v>253567.34</v>
      </c>
    </row>
    <row r="21" spans="1:4" x14ac:dyDescent="0.3">
      <c r="A21" s="2" t="str">
        <f>"1.1.2.01.94- Midia Onibus a Receber"</f>
        <v>1.1.2.01.94- Midia Onibus a Receber</v>
      </c>
      <c r="B21" s="9">
        <v>253567.34</v>
      </c>
      <c r="C21" s="9">
        <v>0</v>
      </c>
      <c r="D21" s="9">
        <v>253567.34</v>
      </c>
    </row>
    <row r="22" spans="1:4" x14ac:dyDescent="0.3">
      <c r="A22" s="2" t="str">
        <f>"1.1.2.04.00- CONVÊNIOS A RECEBER"</f>
        <v>1.1.2.04.00- CONVÊNIOS A RECEBER</v>
      </c>
      <c r="B22" s="9">
        <v>31071.53</v>
      </c>
      <c r="C22" s="9">
        <v>-31071.53</v>
      </c>
      <c r="D22" s="9">
        <v>0</v>
      </c>
    </row>
    <row r="23" spans="1:4" x14ac:dyDescent="0.3">
      <c r="A23" s="2" t="str">
        <f>"1.1.2.04.99- Convenios cedidos a receber"</f>
        <v>1.1.2.04.99- Convenios cedidos a receber</v>
      </c>
      <c r="B23" s="9">
        <v>31071.53</v>
      </c>
      <c r="C23" s="9">
        <v>-31071.53</v>
      </c>
      <c r="D23" s="9">
        <v>0</v>
      </c>
    </row>
    <row r="24" spans="1:4" x14ac:dyDescent="0.3">
      <c r="A24" s="2" t="str">
        <f>"1.1.2.06.00- ADIANTAMENTO A EMPREGADOS"</f>
        <v>1.1.2.06.00- ADIANTAMENTO A EMPREGADOS</v>
      </c>
      <c r="B24" s="9">
        <v>2000596.09</v>
      </c>
      <c r="C24" s="9">
        <v>619098.75</v>
      </c>
      <c r="D24" s="9">
        <v>2619694.84</v>
      </c>
    </row>
    <row r="25" spans="1:4" x14ac:dyDescent="0.3">
      <c r="A25" s="2" t="str">
        <f>"1.1.2.06.01- Adiantamento de Ferias"</f>
        <v>1.1.2.06.01- Adiantamento de Ferias</v>
      </c>
      <c r="B25" s="9">
        <v>873640.29</v>
      </c>
      <c r="C25" s="9">
        <v>526339.22</v>
      </c>
      <c r="D25" s="9">
        <v>1399979.51</v>
      </c>
    </row>
    <row r="26" spans="1:4" x14ac:dyDescent="0.3">
      <c r="A26" s="2" t="str">
        <f>"1.1.2.06.02- Adiantamento de 13. Salario"</f>
        <v>1.1.2.06.02- Adiantamento de 13. Salario</v>
      </c>
      <c r="B26" s="9">
        <v>856246.67</v>
      </c>
      <c r="C26" s="9">
        <v>106025.60000000001</v>
      </c>
      <c r="D26" s="9">
        <v>962272.27</v>
      </c>
    </row>
    <row r="27" spans="1:4" x14ac:dyDescent="0.3">
      <c r="A27" s="2" t="str">
        <f>"1.1.2.06.03- Adiant. de Salario/Parc. Ferias"</f>
        <v>1.1.2.06.03- Adiant. de Salario/Parc. Ferias</v>
      </c>
      <c r="B27" s="9">
        <v>268760.42</v>
      </c>
      <c r="C27" s="9">
        <v>-15500.81</v>
      </c>
      <c r="D27" s="9">
        <v>253259.61</v>
      </c>
    </row>
    <row r="28" spans="1:4" x14ac:dyDescent="0.3">
      <c r="A28" s="2" t="str">
        <f>"1.1.2.06.07- Adiantamento Pensao s/ Ferias"</f>
        <v>1.1.2.06.07- Adiantamento Pensao s/ Ferias</v>
      </c>
      <c r="B28" s="9">
        <v>1948.71</v>
      </c>
      <c r="C28" s="9">
        <v>2234.7399999999998</v>
      </c>
      <c r="D28" s="9">
        <v>4183.45</v>
      </c>
    </row>
    <row r="29" spans="1:4" x14ac:dyDescent="0.3">
      <c r="A29" s="2" t="str">
        <f>"1.1.2.08.00- ALMOXARIFADO"</f>
        <v>1.1.2.08.00- ALMOXARIFADO</v>
      </c>
      <c r="B29" s="9">
        <v>610372.51</v>
      </c>
      <c r="C29" s="9">
        <v>-41905.949999999997</v>
      </c>
      <c r="D29" s="9">
        <v>568466.56000000006</v>
      </c>
    </row>
    <row r="30" spans="1:4" x14ac:dyDescent="0.3">
      <c r="A30" s="2" t="str">
        <f>"1.1.2.08.01- Material em Estoque"</f>
        <v>1.1.2.08.01- Material em Estoque</v>
      </c>
      <c r="B30" s="9">
        <v>610372.51</v>
      </c>
      <c r="C30" s="9">
        <v>-41905.949999999997</v>
      </c>
      <c r="D30" s="9">
        <v>568466.56000000006</v>
      </c>
    </row>
    <row r="31" spans="1:4" x14ac:dyDescent="0.3">
      <c r="A31" s="2" t="str">
        <f>"1.1.2.10.00- IMPOSTOS E CONTRIB.A RECUPERAR"</f>
        <v>1.1.2.10.00- IMPOSTOS E CONTRIB.A RECUPERAR</v>
      </c>
      <c r="B31" s="9">
        <v>4999669.1399999997</v>
      </c>
      <c r="C31" s="9">
        <v>-84051.95</v>
      </c>
      <c r="D31" s="9">
        <v>4915617.1900000004</v>
      </c>
    </row>
    <row r="32" spans="1:4" x14ac:dyDescent="0.3">
      <c r="A32" s="2" t="str">
        <f>"1.1.2.10.01- IR s/Aplicacao Financeira"</f>
        <v>1.1.2.10.01- IR s/Aplicacao Financeira</v>
      </c>
      <c r="B32" s="9">
        <v>450265.74</v>
      </c>
      <c r="C32" s="9">
        <v>12195.05</v>
      </c>
      <c r="D32" s="9">
        <v>462460.79</v>
      </c>
    </row>
    <row r="33" spans="1:4" x14ac:dyDescent="0.3">
      <c r="A33" s="2" t="str">
        <f>"1.1.2.10.15- Cofins a Compensar"</f>
        <v>1.1.2.10.15- Cofins a Compensar</v>
      </c>
      <c r="B33" s="9">
        <v>3727598.17</v>
      </c>
      <c r="C33" s="9">
        <v>-79301.009999999995</v>
      </c>
      <c r="D33" s="9">
        <v>3648297.16</v>
      </c>
    </row>
    <row r="34" spans="1:4" x14ac:dyDescent="0.3">
      <c r="A34" s="2" t="str">
        <f>"1.1.2.10.16- PIS a Compensar"</f>
        <v>1.1.2.10.16- PIS a Compensar</v>
      </c>
      <c r="B34" s="9">
        <v>821805.23</v>
      </c>
      <c r="C34" s="9">
        <v>-16945.990000000002</v>
      </c>
      <c r="D34" s="9">
        <v>804859.24</v>
      </c>
    </row>
    <row r="35" spans="1:4" x14ac:dyDescent="0.3">
      <c r="A35" s="2" t="str">
        <f>"1.1.2.11.00- DESPESAS ANTECIPADAS"</f>
        <v>1.1.2.11.00- DESPESAS ANTECIPADAS</v>
      </c>
      <c r="B35" s="9">
        <v>11352.11</v>
      </c>
      <c r="C35" s="9">
        <v>-2084.13</v>
      </c>
      <c r="D35" s="9">
        <v>9267.98</v>
      </c>
    </row>
    <row r="36" spans="1:4" x14ac:dyDescent="0.3">
      <c r="A36" s="2" t="str">
        <f>"1.1.2.11.01- Premios de Seguros a Vencer"</f>
        <v>1.1.2.11.01- Premios de Seguros a Vencer</v>
      </c>
      <c r="B36" s="9">
        <v>11352.11</v>
      </c>
      <c r="C36" s="9">
        <v>-2084.13</v>
      </c>
      <c r="D36" s="9">
        <v>9267.98</v>
      </c>
    </row>
    <row r="37" spans="1:4" x14ac:dyDescent="0.3">
      <c r="A37" s="2" t="str">
        <f>"1.1.2.14.00- CONTAS TRANSITORIAS - GRUPO ATIVO"</f>
        <v>1.1.2.14.00- CONTAS TRANSITORIAS - GRUPO ATIVO</v>
      </c>
      <c r="B37" s="9">
        <v>-9310.73</v>
      </c>
      <c r="C37" s="9">
        <v>-170468.41</v>
      </c>
      <c r="D37" s="9">
        <v>-179779.14</v>
      </c>
    </row>
    <row r="38" spans="1:4" x14ac:dyDescent="0.3">
      <c r="A38" s="2" t="str">
        <f>"1.1.2.14.07- Transitoria de Imposto"</f>
        <v>1.1.2.14.07- Transitoria de Imposto</v>
      </c>
      <c r="B38" s="9">
        <v>-9310.73</v>
      </c>
      <c r="C38" s="9">
        <v>-170468.41</v>
      </c>
      <c r="D38" s="9">
        <v>-179779.14</v>
      </c>
    </row>
    <row r="39" spans="1:4" x14ac:dyDescent="0.3">
      <c r="A39" s="2" t="str">
        <f>"1.2.0.00.00- ATIVO NAO CIRCULANTE"</f>
        <v>1.2.0.00.00- ATIVO NAO CIRCULANTE</v>
      </c>
      <c r="B39" s="9">
        <v>34183863.130000003</v>
      </c>
      <c r="C39" s="9">
        <v>-182497.96</v>
      </c>
      <c r="D39" s="9">
        <v>34001365.170000002</v>
      </c>
    </row>
    <row r="40" spans="1:4" x14ac:dyDescent="0.3">
      <c r="A40" s="2" t="str">
        <f>"1.2.1.00.00- REALIZAVEL A LONGO PRAZO"</f>
        <v>1.2.1.00.00- REALIZAVEL A LONGO PRAZO</v>
      </c>
      <c r="B40" s="9">
        <v>32863136.710000001</v>
      </c>
      <c r="C40" s="9">
        <v>-156174.75</v>
      </c>
      <c r="D40" s="9">
        <v>32706961.960000001</v>
      </c>
    </row>
    <row r="41" spans="1:4" x14ac:dyDescent="0.3">
      <c r="A41" s="2" t="str">
        <f>"1.2.1.01.00- CREDITOS E VALORES A RECEBER"</f>
        <v>1.2.1.01.00- CREDITOS E VALORES A RECEBER</v>
      </c>
      <c r="B41" s="9">
        <v>32863136.710000001</v>
      </c>
      <c r="C41" s="9">
        <v>-156174.75</v>
      </c>
      <c r="D41" s="9">
        <v>32706961.960000001</v>
      </c>
    </row>
    <row r="42" spans="1:4" x14ac:dyDescent="0.3">
      <c r="A42" s="2" t="str">
        <f>"1.2.1.01.01- Depositos Judiciais"</f>
        <v>1.2.1.01.01- Depositos Judiciais</v>
      </c>
      <c r="B42" s="9">
        <v>803666.18</v>
      </c>
      <c r="C42" s="9">
        <v>-156174.75</v>
      </c>
      <c r="D42" s="9">
        <v>647491.43000000005</v>
      </c>
    </row>
    <row r="43" spans="1:4" x14ac:dyDescent="0.3">
      <c r="A43" s="2" t="str">
        <f>"1.2.1.01.04- Convenio Prefeitura Betim"</f>
        <v>1.2.1.01.04- Convenio Prefeitura Betim</v>
      </c>
      <c r="B43" s="9">
        <v>891.18</v>
      </c>
      <c r="C43" s="9">
        <v>0</v>
      </c>
      <c r="D43" s="9">
        <v>891.18</v>
      </c>
    </row>
    <row r="44" spans="1:4" x14ac:dyDescent="0.3">
      <c r="A44" s="2" t="str">
        <f>"1.2.1.01.05- Convenio IPSEMG"</f>
        <v>1.2.1.01.05- Convenio IPSEMG</v>
      </c>
      <c r="B44" s="9">
        <v>21163.53</v>
      </c>
      <c r="C44" s="9">
        <v>0</v>
      </c>
      <c r="D44" s="9">
        <v>21163.53</v>
      </c>
    </row>
    <row r="45" spans="1:4" x14ac:dyDescent="0.3">
      <c r="A45" s="2" t="str">
        <f>"1.2.1.01.06- Multas Transporte Coletivo"</f>
        <v>1.2.1.01.06- Multas Transporte Coletivo</v>
      </c>
      <c r="B45" s="9">
        <v>40046769.780000001</v>
      </c>
      <c r="C45" s="9">
        <v>0</v>
      </c>
      <c r="D45" s="9">
        <v>40046769.780000001</v>
      </c>
    </row>
    <row r="46" spans="1:4" x14ac:dyDescent="0.3">
      <c r="A46" s="2" t="str">
        <f>"1.2.1.01.07- (-) Provisao para Perdas"</f>
        <v>1.2.1.01.07- (-) Provisao para Perdas</v>
      </c>
      <c r="B46" s="9">
        <v>-8009353.96</v>
      </c>
      <c r="C46" s="9">
        <v>0</v>
      </c>
      <c r="D46" s="9">
        <v>-8009353.96</v>
      </c>
    </row>
    <row r="47" spans="1:4" x14ac:dyDescent="0.3">
      <c r="A47" s="2" t="str">
        <f>"1.3.1.00.00- INVESTIMENTOS"</f>
        <v>1.3.1.00.00- INVESTIMENTOS</v>
      </c>
      <c r="B47" s="9">
        <v>26152.19</v>
      </c>
      <c r="C47" s="9">
        <v>0</v>
      </c>
      <c r="D47" s="9">
        <v>26152.19</v>
      </c>
    </row>
    <row r="48" spans="1:4" x14ac:dyDescent="0.3">
      <c r="A48" s="2" t="str">
        <f>"1.3.1.01.00- OUTROS INVESTIMENTOS"</f>
        <v>1.3.1.01.00- OUTROS INVESTIMENTOS</v>
      </c>
      <c r="B48" s="9">
        <v>26152.19</v>
      </c>
      <c r="C48" s="9">
        <v>0</v>
      </c>
      <c r="D48" s="9">
        <v>26152.19</v>
      </c>
    </row>
    <row r="49" spans="1:4" x14ac:dyDescent="0.3">
      <c r="A49" s="2" t="str">
        <f>"1.3.1.01.01- Obras de Arte"</f>
        <v>1.3.1.01.01- Obras de Arte</v>
      </c>
      <c r="B49" s="9">
        <v>25200</v>
      </c>
      <c r="C49" s="9">
        <v>0</v>
      </c>
      <c r="D49" s="9">
        <v>25200</v>
      </c>
    </row>
    <row r="50" spans="1:4" x14ac:dyDescent="0.3">
      <c r="A50" s="2" t="str">
        <f>"1.3.1.01.02- Participações Societárias - PBH ATIVOS"</f>
        <v>1.3.1.01.02- Participações Societárias - PBH ATIVOS</v>
      </c>
      <c r="B50" s="9">
        <v>952.19</v>
      </c>
      <c r="C50" s="9">
        <v>0</v>
      </c>
      <c r="D50" s="9">
        <v>952.19</v>
      </c>
    </row>
    <row r="51" spans="1:4" x14ac:dyDescent="0.3">
      <c r="A51" s="2" t="str">
        <f>"1.3.2.00.00- IMOBILIZADO"</f>
        <v>1.3.2.00.00- IMOBILIZADO</v>
      </c>
      <c r="B51" s="9">
        <v>6895858.3499999996</v>
      </c>
      <c r="C51" s="9">
        <v>0</v>
      </c>
      <c r="D51" s="9">
        <v>6895858.3499999996</v>
      </c>
    </row>
    <row r="52" spans="1:4" x14ac:dyDescent="0.3">
      <c r="A52" s="2" t="str">
        <f>"1.3.2.01.01- Maquinas e equipamentos"</f>
        <v>1.3.2.01.01- Maquinas e equipamentos</v>
      </c>
      <c r="B52" s="9">
        <v>259352.63</v>
      </c>
      <c r="C52" s="9">
        <v>0</v>
      </c>
      <c r="D52" s="9">
        <v>259352.63</v>
      </c>
    </row>
    <row r="53" spans="1:4" x14ac:dyDescent="0.3">
      <c r="A53" s="2" t="str">
        <f>"1.3.2.02.01- Ferramentas"</f>
        <v>1.3.2.02.01- Ferramentas</v>
      </c>
      <c r="B53" s="9">
        <v>8159.81</v>
      </c>
      <c r="C53" s="9">
        <v>0</v>
      </c>
      <c r="D53" s="9">
        <v>8159.81</v>
      </c>
    </row>
    <row r="54" spans="1:4" x14ac:dyDescent="0.3">
      <c r="A54" s="2" t="str">
        <f>"1.3.2.03.01- Equipamentos de comunicacao"</f>
        <v>1.3.2.03.01- Equipamentos de comunicacao</v>
      </c>
      <c r="B54" s="9">
        <v>638718.06999999995</v>
      </c>
      <c r="C54" s="9">
        <v>0</v>
      </c>
      <c r="D54" s="9">
        <v>638718.06999999995</v>
      </c>
    </row>
    <row r="55" spans="1:4" x14ac:dyDescent="0.3">
      <c r="A55" s="2" t="str">
        <f>"1.3.2.04.01- Instalacoes"</f>
        <v>1.3.2.04.01- Instalacoes</v>
      </c>
      <c r="B55" s="9">
        <v>89886.56</v>
      </c>
      <c r="C55" s="9">
        <v>0</v>
      </c>
      <c r="D55" s="9">
        <v>89886.56</v>
      </c>
    </row>
    <row r="56" spans="1:4" x14ac:dyDescent="0.3">
      <c r="A56" s="2" t="str">
        <f>"1.3.2.06.01- Moveis e utensilios"</f>
        <v>1.3.2.06.01- Moveis e utensilios</v>
      </c>
      <c r="B56" s="9">
        <v>453302.85</v>
      </c>
      <c r="C56" s="9">
        <v>0</v>
      </c>
      <c r="D56" s="9">
        <v>453302.85</v>
      </c>
    </row>
    <row r="57" spans="1:4" x14ac:dyDescent="0.3">
      <c r="A57" s="2" t="str">
        <f>"1.3.2.08.01- Instalacoes administrativas"</f>
        <v>1.3.2.08.01- Instalacoes administrativas</v>
      </c>
      <c r="B57" s="9">
        <v>98491.4</v>
      </c>
      <c r="C57" s="9">
        <v>0</v>
      </c>
      <c r="D57" s="9">
        <v>98491.4</v>
      </c>
    </row>
    <row r="58" spans="1:4" x14ac:dyDescent="0.3">
      <c r="A58" s="2" t="str">
        <f>"1.3.2.09.01- Aparelhos/equipamentos diversos"</f>
        <v>1.3.2.09.01- Aparelhos/equipamentos diversos</v>
      </c>
      <c r="B58" s="9">
        <v>631083.07999999996</v>
      </c>
      <c r="C58" s="9">
        <v>0</v>
      </c>
      <c r="D58" s="9">
        <v>631083.07999999996</v>
      </c>
    </row>
    <row r="59" spans="1:4" x14ac:dyDescent="0.3">
      <c r="A59" s="2" t="str">
        <f>"1.3.2.10.01- Equip. p/ processamento de dados"</f>
        <v>1.3.2.10.01- Equip. p/ processamento de dados</v>
      </c>
      <c r="B59" s="9">
        <v>1494365.77</v>
      </c>
      <c r="C59" s="9">
        <v>0</v>
      </c>
      <c r="D59" s="9">
        <v>1494365.77</v>
      </c>
    </row>
    <row r="60" spans="1:4" x14ac:dyDescent="0.3">
      <c r="A60" s="2" t="str">
        <f>"1.3.2.12.01- Micros/impressoras e acessorios"</f>
        <v>1.3.2.12.01- Micros/impressoras e acessorios</v>
      </c>
      <c r="B60" s="9">
        <v>1450152.26</v>
      </c>
      <c r="C60" s="9">
        <v>0</v>
      </c>
      <c r="D60" s="9">
        <v>1450152.26</v>
      </c>
    </row>
    <row r="61" spans="1:4" x14ac:dyDescent="0.3">
      <c r="A61" s="2" t="str">
        <f>"1.3.2.13.01- Imobilizacao em imoveis de terceiros"</f>
        <v>1.3.2.13.01- Imobilizacao em imoveis de terceiros</v>
      </c>
      <c r="B61" s="9">
        <v>609961.46</v>
      </c>
      <c r="C61" s="9">
        <v>0</v>
      </c>
      <c r="D61" s="9">
        <v>609961.46</v>
      </c>
    </row>
    <row r="62" spans="1:4" x14ac:dyDescent="0.3">
      <c r="A62" s="2" t="str">
        <f>"1.3.2.14.01- Estacao Diamante"</f>
        <v>1.3.2.14.01- Estacao Diamante</v>
      </c>
      <c r="B62" s="9">
        <v>1162384.46</v>
      </c>
      <c r="C62" s="9">
        <v>0</v>
      </c>
      <c r="D62" s="9">
        <v>1162384.46</v>
      </c>
    </row>
    <row r="63" spans="1:4" x14ac:dyDescent="0.3">
      <c r="A63" s="2" t="str">
        <f>"1.3.3.00.00- INTANGIVEL"</f>
        <v>1.3.3.00.00- INTANGIVEL</v>
      </c>
      <c r="B63" s="9">
        <v>37558</v>
      </c>
      <c r="C63" s="9">
        <v>0</v>
      </c>
      <c r="D63" s="9">
        <v>37558</v>
      </c>
    </row>
    <row r="64" spans="1:4" x14ac:dyDescent="0.3">
      <c r="A64" s="2" t="str">
        <f>"1.3.3.03.00- MARCAS E PATENTES"</f>
        <v>1.3.3.03.00- MARCAS E PATENTES</v>
      </c>
      <c r="B64" s="9">
        <v>808</v>
      </c>
      <c r="C64" s="9">
        <v>0</v>
      </c>
      <c r="D64" s="9">
        <v>808</v>
      </c>
    </row>
    <row r="65" spans="1:4" x14ac:dyDescent="0.3">
      <c r="A65" s="2" t="str">
        <f>"1.3.3.03.01- Marcas e Patentes"</f>
        <v>1.3.3.03.01- Marcas e Patentes</v>
      </c>
      <c r="B65" s="9">
        <v>808</v>
      </c>
      <c r="C65" s="9">
        <v>0</v>
      </c>
      <c r="D65" s="9">
        <v>808</v>
      </c>
    </row>
    <row r="66" spans="1:4" x14ac:dyDescent="0.3">
      <c r="A66" s="2" t="str">
        <f>"1.3.3.04.01- Programas e Sistemas"</f>
        <v>1.3.3.04.01- Programas e Sistemas</v>
      </c>
      <c r="B66" s="9">
        <v>36750</v>
      </c>
      <c r="C66" s="9">
        <v>0</v>
      </c>
      <c r="D66" s="9">
        <v>36750</v>
      </c>
    </row>
    <row r="67" spans="1:4" x14ac:dyDescent="0.3">
      <c r="A67" s="2" t="str">
        <f>"1.3.5.00.00- ( - )DEPRECIACAO E AMORTIZACAO"</f>
        <v>1.3.5.00.00- ( - )DEPRECIACAO E AMORTIZACAO</v>
      </c>
      <c r="B67" s="9">
        <v>-5638842.1200000001</v>
      </c>
      <c r="C67" s="9">
        <v>-26323.21</v>
      </c>
      <c r="D67" s="9">
        <v>-5665165.3300000001</v>
      </c>
    </row>
    <row r="68" spans="1:4" x14ac:dyDescent="0.3">
      <c r="A68" s="2" t="str">
        <f>"1.3.5.01.00- ( - ) DEPRECIACAO E AMORTIZACAO"</f>
        <v>1.3.5.01.00- ( - ) DEPRECIACAO E AMORTIZACAO</v>
      </c>
      <c r="B68" s="9">
        <v>-5638842.1200000001</v>
      </c>
      <c r="C68" s="9">
        <v>-26323.21</v>
      </c>
      <c r="D68" s="9">
        <v>-5665165.3300000001</v>
      </c>
    </row>
    <row r="69" spans="1:4" x14ac:dyDescent="0.3">
      <c r="A69" s="2" t="str">
        <f>"1.3.5.01.01- ( - ) Moveis e Utensilios"</f>
        <v>1.3.5.01.01- ( - ) Moveis e Utensilios</v>
      </c>
      <c r="B69" s="9">
        <v>-430119.13</v>
      </c>
      <c r="C69" s="9">
        <v>-304.42</v>
      </c>
      <c r="D69" s="9">
        <v>-430423.55</v>
      </c>
    </row>
    <row r="70" spans="1:4" x14ac:dyDescent="0.3">
      <c r="A70" s="2" t="str">
        <f>"1.3.5.01.02- ( - ) Aparelhos/Equipamentos Diversos"</f>
        <v>1.3.5.01.02- ( - ) Aparelhos/Equipamentos Diversos</v>
      </c>
      <c r="B70" s="9">
        <v>-566058.68999999994</v>
      </c>
      <c r="C70" s="9">
        <v>-2569.14</v>
      </c>
      <c r="D70" s="9">
        <v>-568627.82999999996</v>
      </c>
    </row>
    <row r="71" spans="1:4" x14ac:dyDescent="0.3">
      <c r="A71" s="2" t="str">
        <f>"1.3.5.01.03- ( - ) Instalacoes Administrativas"</f>
        <v>1.3.5.01.03- ( - ) Instalacoes Administrativas</v>
      </c>
      <c r="B71" s="9">
        <v>-98491.4</v>
      </c>
      <c r="C71" s="9">
        <v>0</v>
      </c>
      <c r="D71" s="9">
        <v>-98491.4</v>
      </c>
    </row>
    <row r="72" spans="1:4" x14ac:dyDescent="0.3">
      <c r="A72" s="2" t="str">
        <f>"1.3.5.01.05- ( - ) Impressoras e Micros"</f>
        <v>1.3.5.01.05- ( - ) Impressoras e Micros</v>
      </c>
      <c r="B72" s="9">
        <v>-2159828.5299999998</v>
      </c>
      <c r="C72" s="9">
        <v>-12687.63</v>
      </c>
      <c r="D72" s="9">
        <v>-2172516.16</v>
      </c>
    </row>
    <row r="73" spans="1:4" x14ac:dyDescent="0.3">
      <c r="A73" s="2" t="str">
        <f>"1.3.5.01.06- ( - ) Maquinas e Equipamentos"</f>
        <v>1.3.5.01.06- ( - ) Maquinas e Equipamentos</v>
      </c>
      <c r="B73" s="9">
        <v>-229629.12</v>
      </c>
      <c r="C73" s="9">
        <v>-550.62</v>
      </c>
      <c r="D73" s="9">
        <v>-230179.74</v>
      </c>
    </row>
    <row r="74" spans="1:4" x14ac:dyDescent="0.3">
      <c r="A74" s="2" t="str">
        <f>"1.3.5.01.07- ( - ) Equipamentos de Comunicacao"</f>
        <v>1.3.5.01.07- ( - ) Equipamentos de Comunicacao</v>
      </c>
      <c r="B74" s="9">
        <v>-483323.79</v>
      </c>
      <c r="C74" s="9">
        <v>-7995.34</v>
      </c>
      <c r="D74" s="9">
        <v>-491319.13</v>
      </c>
    </row>
    <row r="75" spans="1:4" x14ac:dyDescent="0.3">
      <c r="A75" s="2" t="str">
        <f>"1.3.5.01.08- ( - ) Instalacoes Operacionais"</f>
        <v>1.3.5.01.08- ( - ) Instalacoes Operacionais</v>
      </c>
      <c r="B75" s="9">
        <v>-84930.559999999998</v>
      </c>
      <c r="C75" s="9">
        <v>-182.86</v>
      </c>
      <c r="D75" s="9">
        <v>-85113.42</v>
      </c>
    </row>
    <row r="76" spans="1:4" x14ac:dyDescent="0.3">
      <c r="A76" s="2" t="str">
        <f>"1.3.5.01.09- ( - ) Programas (Softwares)"</f>
        <v>1.3.5.01.09- ( - ) Programas (Softwares)</v>
      </c>
      <c r="B76" s="9">
        <v>-36750</v>
      </c>
      <c r="C76" s="9">
        <v>0</v>
      </c>
      <c r="D76" s="9">
        <v>-36750</v>
      </c>
    </row>
    <row r="77" spans="1:4" x14ac:dyDescent="0.3">
      <c r="A77" s="2" t="str">
        <f>"1.3.5.01.14- ( - ) Ferramentas"</f>
        <v>1.3.5.01.14- ( - ) Ferramentas</v>
      </c>
      <c r="B77" s="9">
        <v>-8159.81</v>
      </c>
      <c r="C77" s="9">
        <v>0</v>
      </c>
      <c r="D77" s="9">
        <v>-8159.81</v>
      </c>
    </row>
    <row r="78" spans="1:4" x14ac:dyDescent="0.3">
      <c r="A78" s="2" t="str">
        <f>"1.3.5.01.15- ( - ) Imobilizacoes em Imov. Terceiros"</f>
        <v>1.3.5.01.15- ( - ) Imobilizacoes em Imov. Terceiros</v>
      </c>
      <c r="B78" s="9">
        <v>-1541551.09</v>
      </c>
      <c r="C78" s="9">
        <v>-2033.2</v>
      </c>
      <c r="D78" s="9">
        <v>-1543584.29</v>
      </c>
    </row>
    <row r="79" spans="1:4" x14ac:dyDescent="0.3">
      <c r="A79" s="2" t="str">
        <f>""</f>
        <v/>
      </c>
      <c r="B79" s="3" t="str">
        <f>""</f>
        <v/>
      </c>
      <c r="C79" s="3" t="str">
        <f>""</f>
        <v/>
      </c>
      <c r="D79" s="3" t="str">
        <f>""</f>
        <v/>
      </c>
    </row>
    <row r="80" spans="1:4" x14ac:dyDescent="0.3">
      <c r="A80" s="2" t="str">
        <f>"PASSIVO"</f>
        <v>PASSIVO</v>
      </c>
      <c r="B80" s="3" t="str">
        <f>""</f>
        <v/>
      </c>
      <c r="C80" s="3" t="str">
        <f>""</f>
        <v/>
      </c>
      <c r="D80" s="3" t="str">
        <f>""</f>
        <v/>
      </c>
    </row>
    <row r="81" spans="1:4" x14ac:dyDescent="0.3">
      <c r="A81" s="2" t="str">
        <f>"2.0.0.00.00- PASSIVO"</f>
        <v>2.0.0.00.00- PASSIVO</v>
      </c>
      <c r="B81" s="9">
        <v>55616393.950000003</v>
      </c>
      <c r="C81" s="9">
        <v>1878159.19</v>
      </c>
      <c r="D81" s="9">
        <v>57494553.140000001</v>
      </c>
    </row>
    <row r="82" spans="1:4" x14ac:dyDescent="0.3">
      <c r="A82" s="2" t="str">
        <f>"2.1.0.00.00- PASSIVO CIRCULANTE"</f>
        <v>2.1.0.00.00- PASSIVO CIRCULANTE</v>
      </c>
      <c r="B82" s="9">
        <v>32106397.030000001</v>
      </c>
      <c r="C82" s="9">
        <v>2726610.11</v>
      </c>
      <c r="D82" s="9">
        <v>34833007.140000001</v>
      </c>
    </row>
    <row r="83" spans="1:4" x14ac:dyDescent="0.3">
      <c r="A83" s="2" t="str">
        <f>"2.1.1.00.00- OBRIGACOES COM PESSOAL"</f>
        <v>2.1.1.00.00- OBRIGACOES COM PESSOAL</v>
      </c>
      <c r="B83" s="9">
        <v>15801293.32</v>
      </c>
      <c r="C83" s="9">
        <v>1970557.83</v>
      </c>
      <c r="D83" s="9">
        <v>17771851.149999999</v>
      </c>
    </row>
    <row r="84" spans="1:4" x14ac:dyDescent="0.3">
      <c r="A84" s="2" t="str">
        <f>"2.1.1.01.00- SALARIOS A PAGAR"</f>
        <v>2.1.1.01.00- SALARIOS A PAGAR</v>
      </c>
      <c r="B84" s="9">
        <v>15801293.32</v>
      </c>
      <c r="C84" s="9">
        <v>1970557.83</v>
      </c>
      <c r="D84" s="9">
        <v>17771851.149999999</v>
      </c>
    </row>
    <row r="85" spans="1:4" x14ac:dyDescent="0.3">
      <c r="A85" s="2" t="str">
        <f>"2.1.1.01.01- Salarios a Pagar"</f>
        <v>2.1.1.01.01- Salarios a Pagar</v>
      </c>
      <c r="B85" s="9">
        <v>4765697.4400000004</v>
      </c>
      <c r="C85" s="9">
        <v>356132.73</v>
      </c>
      <c r="D85" s="9">
        <v>5121830.17</v>
      </c>
    </row>
    <row r="86" spans="1:4" x14ac:dyDescent="0.3">
      <c r="A86" s="2" t="str">
        <f>"2.1.1.01.02- Provisão 13º Salário"</f>
        <v>2.1.1.01.02- Provisão 13º Salário</v>
      </c>
      <c r="B86" s="9">
        <v>667771.44999999995</v>
      </c>
      <c r="C86" s="9">
        <v>651176.76</v>
      </c>
      <c r="D86" s="9">
        <v>1318948.21</v>
      </c>
    </row>
    <row r="87" spans="1:4" x14ac:dyDescent="0.3">
      <c r="A87" s="2" t="str">
        <f>"2.1.1.01.03- Ferias a pagar"</f>
        <v>2.1.1.01.03- Ferias a pagar</v>
      </c>
      <c r="B87" s="9">
        <v>107088.14</v>
      </c>
      <c r="C87" s="9">
        <v>717190</v>
      </c>
      <c r="D87" s="9">
        <v>824278.14</v>
      </c>
    </row>
    <row r="88" spans="1:4" x14ac:dyDescent="0.3">
      <c r="A88" s="2" t="str">
        <f>"2.1.1.01.05- Rescisoes a Pagar"</f>
        <v>2.1.1.01.05- Rescisoes a Pagar</v>
      </c>
      <c r="B88" s="9">
        <v>4256.12</v>
      </c>
      <c r="C88" s="9">
        <v>-4256.12</v>
      </c>
      <c r="D88" s="9">
        <v>0</v>
      </c>
    </row>
    <row r="89" spans="1:4" x14ac:dyDescent="0.3">
      <c r="A89" s="2" t="str">
        <f>"2.1.1.01.09- Provisao de Ferias"</f>
        <v>2.1.1.01.09- Provisao de Ferias</v>
      </c>
      <c r="B89" s="9">
        <v>10188800.68</v>
      </c>
      <c r="C89" s="9">
        <v>234354.75</v>
      </c>
      <c r="D89" s="9">
        <v>10423155.43</v>
      </c>
    </row>
    <row r="90" spans="1:4" x14ac:dyDescent="0.3">
      <c r="A90" s="2" t="str">
        <f>"2.1.1.01.12- Pensão Judicial"</f>
        <v>2.1.1.01.12- Pensão Judicial</v>
      </c>
      <c r="B90" s="9">
        <v>67679.490000000005</v>
      </c>
      <c r="C90" s="9">
        <v>15959.71</v>
      </c>
      <c r="D90" s="9">
        <v>83639.199999999997</v>
      </c>
    </row>
    <row r="91" spans="1:4" x14ac:dyDescent="0.3">
      <c r="A91" s="2" t="str">
        <f>"2.1.2.00.00- OBRIGACOES SOCIAIS A CURTO PRAZO"</f>
        <v>2.1.2.00.00- OBRIGACOES SOCIAIS A CURTO PRAZO</v>
      </c>
      <c r="B91" s="9">
        <v>8529831.7400000002</v>
      </c>
      <c r="C91" s="9">
        <v>-4193.6899999999996</v>
      </c>
      <c r="D91" s="9">
        <v>8525638.0500000007</v>
      </c>
    </row>
    <row r="92" spans="1:4" x14ac:dyDescent="0.3">
      <c r="A92" s="2" t="str">
        <f>"2.1.2.01.00- OBRIGACOES SOCIAIS A RECOLHER"</f>
        <v>2.1.2.01.00- OBRIGACOES SOCIAIS A RECOLHER</v>
      </c>
      <c r="B92" s="9">
        <v>8529831.7400000002</v>
      </c>
      <c r="C92" s="9">
        <v>-4193.6899999999996</v>
      </c>
      <c r="D92" s="9">
        <v>8525638.0500000007</v>
      </c>
    </row>
    <row r="93" spans="1:4" x14ac:dyDescent="0.3">
      <c r="A93" s="2" t="str">
        <f>"2.1.2.01.01- INSS a recolher s/Folha Pagto"</f>
        <v>2.1.2.01.01- INSS a recolher s/Folha Pagto</v>
      </c>
      <c r="B93" s="9">
        <v>3336731.16</v>
      </c>
      <c r="C93" s="9">
        <v>-324372.57</v>
      </c>
      <c r="D93" s="9">
        <v>3012358.59</v>
      </c>
    </row>
    <row r="94" spans="1:4" x14ac:dyDescent="0.3">
      <c r="A94" s="2" t="str">
        <f>"2.1.2.01.02- FGTS a recolher s/Folha Pagto"</f>
        <v>2.1.2.01.02- FGTS a recolher s/Folha Pagto</v>
      </c>
      <c r="B94" s="9">
        <v>807545.5</v>
      </c>
      <c r="C94" s="9">
        <v>-148033.26999999999</v>
      </c>
      <c r="D94" s="9">
        <v>659512.23</v>
      </c>
    </row>
    <row r="95" spans="1:4" x14ac:dyDescent="0.3">
      <c r="A95" s="2" t="str">
        <f>"2.1.2.01.05- Contribuicao Sindical"</f>
        <v>2.1.2.01.05- Contribuicao Sindical</v>
      </c>
      <c r="B95" s="9">
        <v>9119.81</v>
      </c>
      <c r="C95" s="9">
        <v>56.04</v>
      </c>
      <c r="D95" s="9">
        <v>9175.85</v>
      </c>
    </row>
    <row r="96" spans="1:4" x14ac:dyDescent="0.3">
      <c r="A96" s="2" t="str">
        <f>"2.1.2.01.06- INSS s/Provisao de Ferias"</f>
        <v>2.1.2.01.06- INSS s/Provisao de Ferias</v>
      </c>
      <c r="B96" s="9">
        <v>2972177.42</v>
      </c>
      <c r="C96" s="9">
        <v>61163.040000000001</v>
      </c>
      <c r="D96" s="9">
        <v>3033340.46</v>
      </c>
    </row>
    <row r="97" spans="1:4" x14ac:dyDescent="0.3">
      <c r="A97" s="2" t="str">
        <f>"2.1.2.01.09- INSS a Recolher s/Autonomos"</f>
        <v>2.1.2.01.09- INSS a Recolher s/Autonomos</v>
      </c>
      <c r="B97" s="9">
        <v>7302.22</v>
      </c>
      <c r="C97" s="9">
        <v>-1925.92</v>
      </c>
      <c r="D97" s="9">
        <v>5376.3</v>
      </c>
    </row>
    <row r="98" spans="1:4" x14ac:dyDescent="0.3">
      <c r="A98" s="2" t="str">
        <f>"2.1.2.01.10- INSS s/Provisao de 13.Salario"</f>
        <v>2.1.2.01.10- INSS s/Provisao de 13.Salario</v>
      </c>
      <c r="B98" s="9">
        <v>196036.9</v>
      </c>
      <c r="C98" s="9">
        <v>189819.62</v>
      </c>
      <c r="D98" s="9">
        <v>385856.52</v>
      </c>
    </row>
    <row r="99" spans="1:4" x14ac:dyDescent="0.3">
      <c r="A99" s="2" t="str">
        <f>"2.1.2.01.11- FGTS s/Provisao de 13.Salario"</f>
        <v>2.1.2.01.11- FGTS s/Provisao de 13.Salario</v>
      </c>
      <c r="B99" s="9">
        <v>40690.9</v>
      </c>
      <c r="C99" s="9">
        <v>36417.29</v>
      </c>
      <c r="D99" s="9">
        <v>77108.19</v>
      </c>
    </row>
    <row r="100" spans="1:4" x14ac:dyDescent="0.3">
      <c r="A100" s="2" t="str">
        <f>"2.1.2.01.12- FGTS s/Provisao de Ferias"</f>
        <v>2.1.2.01.12- FGTS s/Provisao de Ferias</v>
      </c>
      <c r="B100" s="9">
        <v>810627.55</v>
      </c>
      <c r="C100" s="9">
        <v>18748.580000000002</v>
      </c>
      <c r="D100" s="9">
        <v>829376.13</v>
      </c>
    </row>
    <row r="101" spans="1:4" x14ac:dyDescent="0.3">
      <c r="A101" s="2" t="str">
        <f>"2.1.2.01.15- Crediserv-BH"</f>
        <v>2.1.2.01.15- Crediserv-BH</v>
      </c>
      <c r="B101" s="9">
        <v>22322.27</v>
      </c>
      <c r="C101" s="9">
        <v>1691</v>
      </c>
      <c r="D101" s="9">
        <v>24013.27</v>
      </c>
    </row>
    <row r="102" spans="1:4" x14ac:dyDescent="0.3">
      <c r="A102" s="2" t="str">
        <f>"2.1.2.01.16- INSS Fonte a Recolher - PJ"</f>
        <v>2.1.2.01.16- INSS Fonte a Recolher - PJ</v>
      </c>
      <c r="B102" s="9">
        <v>324635.84999999998</v>
      </c>
      <c r="C102" s="9">
        <v>162343.71</v>
      </c>
      <c r="D102" s="9">
        <v>486979.56</v>
      </c>
    </row>
    <row r="103" spans="1:4" x14ac:dyDescent="0.3">
      <c r="A103" s="2" t="str">
        <f>"2.1.2.01.18- INSS Fonte a Recolher - P F"</f>
        <v>2.1.2.01.18- INSS Fonte a Recolher - P F</v>
      </c>
      <c r="B103" s="9">
        <v>2642.16</v>
      </c>
      <c r="C103" s="9">
        <v>-101.21</v>
      </c>
      <c r="D103" s="9">
        <v>2540.9499999999998</v>
      </c>
    </row>
    <row r="104" spans="1:4" x14ac:dyDescent="0.3">
      <c r="A104" s="2" t="str">
        <f>"2.1.3.00.00- OBRIGACOES FISCAIS A CURTO PRAZO"</f>
        <v>2.1.3.00.00- OBRIGACOES FISCAIS A CURTO PRAZO</v>
      </c>
      <c r="B104" s="9">
        <v>1807909.35</v>
      </c>
      <c r="C104" s="9">
        <v>-192649.67</v>
      </c>
      <c r="D104" s="9">
        <v>1615259.68</v>
      </c>
    </row>
    <row r="105" spans="1:4" x14ac:dyDescent="0.3">
      <c r="A105" s="2" t="str">
        <f>"2.1.3.01.00- IMPOSTOS E TAXAS A RECOLHER"</f>
        <v>2.1.3.01.00- IMPOSTOS E TAXAS A RECOLHER</v>
      </c>
      <c r="B105" s="9">
        <v>1807909.35</v>
      </c>
      <c r="C105" s="9">
        <v>-192649.67</v>
      </c>
      <c r="D105" s="9">
        <v>1615259.68</v>
      </c>
    </row>
    <row r="106" spans="1:4" x14ac:dyDescent="0.3">
      <c r="A106" s="2" t="str">
        <f>"2.1.3.01.01- IRRF Fonte Folha Pagto"</f>
        <v>2.1.3.01.01- IRRF Fonte Folha Pagto</v>
      </c>
      <c r="B106" s="9">
        <v>1413071.79</v>
      </c>
      <c r="C106" s="9">
        <v>-329297.87</v>
      </c>
      <c r="D106" s="9">
        <v>1083773.92</v>
      </c>
    </row>
    <row r="107" spans="1:4" x14ac:dyDescent="0.3">
      <c r="A107" s="2" t="str">
        <f>"2.1.3.01.03- IRRF Fonte - Pessoa  Juridica e Física"</f>
        <v>2.1.3.01.03- IRRF Fonte - Pessoa  Juridica e Física</v>
      </c>
      <c r="B107" s="9">
        <v>39799.089999999997</v>
      </c>
      <c r="C107" s="9">
        <v>17766.88</v>
      </c>
      <c r="D107" s="9">
        <v>57565.97</v>
      </c>
    </row>
    <row r="108" spans="1:4" x14ac:dyDescent="0.3">
      <c r="A108" s="2" t="str">
        <f>"2.1.3.01.09- ISS Fonte a Recolher P.Juridica"</f>
        <v>2.1.3.01.09- ISS Fonte a Recolher P.Juridica</v>
      </c>
      <c r="B108" s="9">
        <v>26994.959999999999</v>
      </c>
      <c r="C108" s="9">
        <v>72096.899999999994</v>
      </c>
      <c r="D108" s="9">
        <v>99091.86</v>
      </c>
    </row>
    <row r="109" spans="1:4" x14ac:dyDescent="0.3">
      <c r="A109" s="2" t="str">
        <f>"2.1.3.01.12- CSLL-COFINS-PIS - FONTE"</f>
        <v>2.1.3.01.12- CSLL-COFINS-PIS - FONTE</v>
      </c>
      <c r="B109" s="9">
        <v>328043.51</v>
      </c>
      <c r="C109" s="9">
        <v>46784.42</v>
      </c>
      <c r="D109" s="9">
        <v>374827.93</v>
      </c>
    </row>
    <row r="110" spans="1:4" x14ac:dyDescent="0.3">
      <c r="A110" s="2" t="str">
        <f>"2.1.4.00.00- OUTRAS OBRIGACOES A CURTO PRAZO"</f>
        <v>2.1.4.00.00- OUTRAS OBRIGACOES A CURTO PRAZO</v>
      </c>
      <c r="B110" s="9">
        <v>5967362.6200000001</v>
      </c>
      <c r="C110" s="9">
        <v>952895.64</v>
      </c>
      <c r="D110" s="9">
        <v>6920258.2599999998</v>
      </c>
    </row>
    <row r="111" spans="1:4" x14ac:dyDescent="0.3">
      <c r="A111" s="2" t="str">
        <f>"2.1.4.01.00- FORNECEDORES"</f>
        <v>2.1.4.01.00- FORNECEDORES</v>
      </c>
      <c r="B111" s="9">
        <v>4592182.9000000004</v>
      </c>
      <c r="C111" s="9">
        <v>728596.17</v>
      </c>
      <c r="D111" s="9">
        <v>5320779.07</v>
      </c>
    </row>
    <row r="112" spans="1:4" x14ac:dyDescent="0.3">
      <c r="A112" s="2" t="str">
        <f>"2.1.4.01.99- Fornecedores"</f>
        <v>2.1.4.01.99- Fornecedores</v>
      </c>
      <c r="B112" s="9">
        <v>4592182.9000000004</v>
      </c>
      <c r="C112" s="9">
        <v>728596.17</v>
      </c>
      <c r="D112" s="9">
        <v>5320779.07</v>
      </c>
    </row>
    <row r="113" spans="1:4" x14ac:dyDescent="0.3">
      <c r="A113" s="2" t="str">
        <f>"2.1.4.02.00- CONTAS A PAGAR"</f>
        <v>2.1.4.02.00- CONTAS A PAGAR</v>
      </c>
      <c r="B113" s="9">
        <v>422893.75</v>
      </c>
      <c r="C113" s="9">
        <v>224299.47</v>
      </c>
      <c r="D113" s="9">
        <v>647193.22</v>
      </c>
    </row>
    <row r="114" spans="1:4" x14ac:dyDescent="0.3">
      <c r="A114" s="2" t="str">
        <f>"2.1.4.02.01- Emprestimo Consignado - Bradesco"</f>
        <v>2.1.4.02.01- Emprestimo Consignado - Bradesco</v>
      </c>
      <c r="B114" s="9">
        <v>235428.3</v>
      </c>
      <c r="C114" s="9">
        <v>3201.32</v>
      </c>
      <c r="D114" s="9">
        <v>238629.62</v>
      </c>
    </row>
    <row r="115" spans="1:4" x14ac:dyDescent="0.3">
      <c r="A115" s="2" t="str">
        <f>"2.1.4.02.03- Emprestimo Consignado - CEF"</f>
        <v>2.1.4.02.03- Emprestimo Consignado - CEF</v>
      </c>
      <c r="B115" s="9">
        <v>52484.69</v>
      </c>
      <c r="C115" s="9">
        <v>-439.17</v>
      </c>
      <c r="D115" s="9">
        <v>52045.52</v>
      </c>
    </row>
    <row r="116" spans="1:4" x14ac:dyDescent="0.3">
      <c r="A116" s="2" t="str">
        <f>"2.1.4.02.04- Emprestimo Consignado - B.Brasil"</f>
        <v>2.1.4.02.04- Emprestimo Consignado - B.Brasil</v>
      </c>
      <c r="B116" s="9">
        <v>84428.81</v>
      </c>
      <c r="C116" s="9">
        <v>-2278.0500000000002</v>
      </c>
      <c r="D116" s="9">
        <v>82150.759999999995</v>
      </c>
    </row>
    <row r="117" spans="1:4" x14ac:dyDescent="0.3">
      <c r="A117" s="2" t="str">
        <f>"2.1.4.02.05- Emprestimo Consignado-Banco Alfa"</f>
        <v>2.1.4.02.05- Emprestimo Consignado-Banco Alfa</v>
      </c>
      <c r="B117" s="9">
        <v>8335.8700000000008</v>
      </c>
      <c r="C117" s="9">
        <v>0</v>
      </c>
      <c r="D117" s="9">
        <v>8335.8700000000008</v>
      </c>
    </row>
    <row r="118" spans="1:4" x14ac:dyDescent="0.3">
      <c r="A118" s="2" t="str">
        <f>"2.1.4.02.99- Contas a Pagar"</f>
        <v>2.1.4.02.99- Contas a Pagar</v>
      </c>
      <c r="B118" s="9">
        <v>42216.08</v>
      </c>
      <c r="C118" s="9">
        <v>223815.37</v>
      </c>
      <c r="D118" s="9">
        <v>266031.45</v>
      </c>
    </row>
    <row r="119" spans="1:4" x14ac:dyDescent="0.3">
      <c r="A119" s="2" t="str">
        <f>"2.1.4.04.00- CAUCAO DE TERCEIROS/LEILAO"</f>
        <v>2.1.4.04.00- CAUCAO DE TERCEIROS/LEILAO</v>
      </c>
      <c r="B119" s="9">
        <v>952285.97</v>
      </c>
      <c r="C119" s="9">
        <v>0</v>
      </c>
      <c r="D119" s="9">
        <v>952285.97</v>
      </c>
    </row>
    <row r="120" spans="1:4" x14ac:dyDescent="0.3">
      <c r="A120" s="2" t="str">
        <f>"2.1.4.04.98- Leilões"</f>
        <v>2.1.4.04.98- Leilões</v>
      </c>
      <c r="B120" s="9">
        <v>857604.91</v>
      </c>
      <c r="C120" s="9">
        <v>0</v>
      </c>
      <c r="D120" s="9">
        <v>857604.91</v>
      </c>
    </row>
    <row r="121" spans="1:4" x14ac:dyDescent="0.3">
      <c r="A121" s="2" t="str">
        <f>"2.1.4.04.99- Caucao de Terceiros"</f>
        <v>2.1.4.04.99- Caucao de Terceiros</v>
      </c>
      <c r="B121" s="9">
        <v>94681.06</v>
      </c>
      <c r="C121" s="9">
        <v>0</v>
      </c>
      <c r="D121" s="9">
        <v>94681.06</v>
      </c>
    </row>
    <row r="122" spans="1:4" x14ac:dyDescent="0.3">
      <c r="A122" s="2" t="str">
        <f>"2.2.0.00.00- PASSIVO NAO CIRCULANTE"</f>
        <v>2.2.0.00.00- PASSIVO NAO CIRCULANTE</v>
      </c>
      <c r="B122" s="9">
        <v>155845451.27000001</v>
      </c>
      <c r="C122" s="9">
        <v>-716809.58</v>
      </c>
      <c r="D122" s="9">
        <v>155128641.69</v>
      </c>
    </row>
    <row r="123" spans="1:4" x14ac:dyDescent="0.3">
      <c r="A123" s="2" t="str">
        <f>"2.2.4.00.00- OUTRAS OBRIGACOES A LONGO PRAZO"</f>
        <v>2.2.4.00.00- OUTRAS OBRIGACOES A LONGO PRAZO</v>
      </c>
      <c r="B123" s="9">
        <v>155845451.27000001</v>
      </c>
      <c r="C123" s="9">
        <v>-716809.58</v>
      </c>
      <c r="D123" s="9">
        <v>155128641.69</v>
      </c>
    </row>
    <row r="124" spans="1:4" x14ac:dyDescent="0.3">
      <c r="A124" s="2" t="str">
        <f>"2.2.4.01.00- CREDORES DIVERSOS"</f>
        <v>2.2.4.01.00- CREDORES DIVERSOS</v>
      </c>
      <c r="B124" s="9">
        <v>14683306</v>
      </c>
      <c r="C124" s="9">
        <v>0</v>
      </c>
      <c r="D124" s="9">
        <v>14683306</v>
      </c>
    </row>
    <row r="125" spans="1:4" x14ac:dyDescent="0.3">
      <c r="A125" s="2" t="str">
        <f>"2.2.4.01.02- Outros Credores Diversos"</f>
        <v>2.2.4.01.02- Outros Credores Diversos</v>
      </c>
      <c r="B125" s="9">
        <v>1446994.26</v>
      </c>
      <c r="C125" s="9">
        <v>0</v>
      </c>
      <c r="D125" s="9">
        <v>1446994.26</v>
      </c>
    </row>
    <row r="126" spans="1:4" x14ac:dyDescent="0.3">
      <c r="A126" s="2" t="str">
        <f>"2.2.4.01.04- Provisão para Contingências Fiscais"</f>
        <v>2.2.4.01.04- Provisão para Contingências Fiscais</v>
      </c>
      <c r="B126" s="9">
        <v>12294456.800000001</v>
      </c>
      <c r="C126" s="9">
        <v>0</v>
      </c>
      <c r="D126" s="9">
        <v>12294456.800000001</v>
      </c>
    </row>
    <row r="127" spans="1:4" x14ac:dyDescent="0.3">
      <c r="A127" s="2" t="str">
        <f>"2.2.4.01.05- INSS Segurados"</f>
        <v>2.2.4.01.05- INSS Segurados</v>
      </c>
      <c r="B127" s="9">
        <v>941854.94</v>
      </c>
      <c r="C127" s="9">
        <v>0</v>
      </c>
      <c r="D127" s="9">
        <v>941854.94</v>
      </c>
    </row>
    <row r="128" spans="1:4" x14ac:dyDescent="0.3">
      <c r="A128" s="2" t="str">
        <f>"2.2.4.04.00- ACOES JUDICIAIS E TRABALHISTAS"</f>
        <v>2.2.4.04.00- ACOES JUDICIAIS E TRABALHISTAS</v>
      </c>
      <c r="B128" s="9">
        <v>141162145.27000001</v>
      </c>
      <c r="C128" s="9">
        <v>-716809.58</v>
      </c>
      <c r="D128" s="9">
        <v>140445335.69</v>
      </c>
    </row>
    <row r="129" spans="1:4" x14ac:dyDescent="0.3">
      <c r="A129" s="2" t="str">
        <f>"2.2.4.04.01- Acoes judiciais"</f>
        <v>2.2.4.04.01- Acoes judiciais</v>
      </c>
      <c r="B129" s="9">
        <v>59595973.630000003</v>
      </c>
      <c r="C129" s="9">
        <v>0</v>
      </c>
      <c r="D129" s="9">
        <v>59595973.630000003</v>
      </c>
    </row>
    <row r="130" spans="1:4" x14ac:dyDescent="0.3">
      <c r="A130" s="2" t="str">
        <f>"2.2.4.04.02- Acoes trabalhistas"</f>
        <v>2.2.4.04.02- Acoes trabalhistas</v>
      </c>
      <c r="B130" s="9">
        <v>81566171.640000001</v>
      </c>
      <c r="C130" s="9">
        <v>-716809.58</v>
      </c>
      <c r="D130" s="9">
        <v>80849362.060000002</v>
      </c>
    </row>
    <row r="131" spans="1:4" x14ac:dyDescent="0.3">
      <c r="A131" s="2" t="str">
        <f>"2.4.0.00.00- PATRIMONIO LIQUIDO"</f>
        <v>2.4.0.00.00- PATRIMONIO LIQUIDO</v>
      </c>
      <c r="B131" s="9">
        <v>-132335454.34999999</v>
      </c>
      <c r="C131" s="9">
        <v>-131641.34</v>
      </c>
      <c r="D131" s="9">
        <v>-132467095.69</v>
      </c>
    </row>
    <row r="132" spans="1:4" x14ac:dyDescent="0.3">
      <c r="A132" s="2" t="str">
        <f>"2.4.1.00.00- CAPITAL SOCIAL"</f>
        <v>2.4.1.00.00- CAPITAL SOCIAL</v>
      </c>
      <c r="B132" s="9">
        <v>67418193.159999996</v>
      </c>
      <c r="C132" s="9">
        <v>0</v>
      </c>
      <c r="D132" s="9">
        <v>67418193.159999996</v>
      </c>
    </row>
    <row r="133" spans="1:4" x14ac:dyDescent="0.3">
      <c r="A133" s="2" t="str">
        <f>"2.4.1.02.00- CAPITAL REALIZADO"</f>
        <v>2.4.1.02.00- CAPITAL REALIZADO</v>
      </c>
      <c r="B133" s="9">
        <v>67418193.159999996</v>
      </c>
      <c r="C133" s="9">
        <v>0</v>
      </c>
      <c r="D133" s="9">
        <v>67418193.159999996</v>
      </c>
    </row>
    <row r="134" spans="1:4" x14ac:dyDescent="0.3">
      <c r="A134" s="2" t="str">
        <f>"2.4.1.02.01- Capital Subscrito"</f>
        <v>2.4.1.02.01- Capital Subscrito</v>
      </c>
      <c r="B134" s="9">
        <v>75000000</v>
      </c>
      <c r="C134" s="9">
        <v>0</v>
      </c>
      <c r="D134" s="9">
        <v>75000000</v>
      </c>
    </row>
    <row r="135" spans="1:4" x14ac:dyDescent="0.3">
      <c r="A135" s="2" t="str">
        <f>"2.4.1.02.04- Capital a Realizar"</f>
        <v>2.4.1.02.04- Capital a Realizar</v>
      </c>
      <c r="B135" s="9">
        <v>-7581806.8399999999</v>
      </c>
      <c r="C135" s="9">
        <v>0</v>
      </c>
      <c r="D135" s="9">
        <v>-7581806.8399999999</v>
      </c>
    </row>
    <row r="136" spans="1:4" x14ac:dyDescent="0.3">
      <c r="A136" s="2" t="str">
        <f>"2.4.3.00.00- RESULTADOS ACUMULADOS"</f>
        <v>2.4.3.00.00- RESULTADOS ACUMULADOS</v>
      </c>
      <c r="B136" s="9">
        <v>-199753647.50999999</v>
      </c>
      <c r="C136" s="9">
        <v>-131641.34</v>
      </c>
      <c r="D136" s="9">
        <v>-199885288.84999999</v>
      </c>
    </row>
    <row r="137" spans="1:4" x14ac:dyDescent="0.3">
      <c r="A137" s="2" t="str">
        <f>"2.4.3.01.00- LUCROS/PREJUIZOS ACUMULADOS"</f>
        <v>2.4.3.01.00- LUCROS/PREJUIZOS ACUMULADOS</v>
      </c>
      <c r="B137" s="9">
        <v>-199753647.50999999</v>
      </c>
      <c r="C137" s="9">
        <v>-131641.34</v>
      </c>
      <c r="D137" s="9">
        <v>-199885288.84999999</v>
      </c>
    </row>
    <row r="138" spans="1:4" x14ac:dyDescent="0.3">
      <c r="A138" s="2" t="str">
        <f>"2.4.3.01.01- Resultados de Exerc. Anteriores"</f>
        <v>2.4.3.01.01- Resultados de Exerc. Anteriores</v>
      </c>
      <c r="B138" s="9">
        <v>-198789507.34</v>
      </c>
      <c r="C138" s="9">
        <v>0</v>
      </c>
      <c r="D138" s="9">
        <v>-198789507.34</v>
      </c>
    </row>
    <row r="139" spans="1:4" x14ac:dyDescent="0.3">
      <c r="A139" s="2" t="str">
        <f>"2.4.3.01.02- Resultado deste Exercicio"</f>
        <v>2.4.3.01.02- Resultado deste Exercicio</v>
      </c>
      <c r="B139" s="9">
        <v>-964140.17</v>
      </c>
      <c r="C139" s="9">
        <v>-131641.34</v>
      </c>
      <c r="D139" s="9">
        <v>-1095781.51</v>
      </c>
    </row>
    <row r="140" spans="1:4" x14ac:dyDescent="0.3">
      <c r="A140" s="2" t="str">
        <f>""</f>
        <v/>
      </c>
      <c r="B140" s="3" t="str">
        <f>""</f>
        <v/>
      </c>
      <c r="C140" s="3" t="str">
        <f>""</f>
        <v/>
      </c>
      <c r="D140" s="3" t="str">
        <f>""</f>
        <v/>
      </c>
    </row>
    <row r="141" spans="1:4" x14ac:dyDescent="0.3">
      <c r="A141" s="2" t="str">
        <f>"DESPESAS"</f>
        <v>DESPESAS</v>
      </c>
      <c r="B141" s="3" t="str">
        <f>""</f>
        <v/>
      </c>
      <c r="C141" s="3" t="str">
        <f>""</f>
        <v/>
      </c>
      <c r="D141" s="3" t="str">
        <f>""</f>
        <v/>
      </c>
    </row>
    <row r="142" spans="1:4" x14ac:dyDescent="0.3">
      <c r="A142" s="2" t="str">
        <f>"3.0.0.00.00- DESPESAS"</f>
        <v>3.0.0.00.00- DESPESAS</v>
      </c>
      <c r="B142" s="9">
        <v>18882725.34</v>
      </c>
      <c r="C142" s="9">
        <v>20244638.579999998</v>
      </c>
      <c r="D142" s="9">
        <v>39127363.920000002</v>
      </c>
    </row>
    <row r="143" spans="1:4" x14ac:dyDescent="0.3">
      <c r="A143" s="2" t="str">
        <f>"3.1.0.00.00- DESPESAS OPERACIONAIS"</f>
        <v>3.1.0.00.00- DESPESAS OPERACIONAIS</v>
      </c>
      <c r="B143" s="9">
        <v>18882725.34</v>
      </c>
      <c r="C143" s="9">
        <v>20244638.579999998</v>
      </c>
      <c r="D143" s="9">
        <v>39127363.920000002</v>
      </c>
    </row>
    <row r="144" spans="1:4" x14ac:dyDescent="0.3">
      <c r="A144" s="2" t="str">
        <f>"3.1.1.00.00- SALARIOS ADICIONAIS E HONORARIOS"</f>
        <v>3.1.1.00.00- SALARIOS ADICIONAIS E HONORARIOS</v>
      </c>
      <c r="B144" s="9">
        <v>9349066.6600000001</v>
      </c>
      <c r="C144" s="9">
        <v>9367295.5199999996</v>
      </c>
      <c r="D144" s="9">
        <v>18716362.18</v>
      </c>
    </row>
    <row r="145" spans="1:4" x14ac:dyDescent="0.3">
      <c r="A145" s="2" t="str">
        <f>"3.1.1.00.01- Honorarios diretoria"</f>
        <v>3.1.1.00.01- Honorarios diretoria</v>
      </c>
      <c r="B145" s="9">
        <v>70765.279999999999</v>
      </c>
      <c r="C145" s="9">
        <v>80281.399999999994</v>
      </c>
      <c r="D145" s="9">
        <v>151046.68</v>
      </c>
    </row>
    <row r="146" spans="1:4" x14ac:dyDescent="0.3">
      <c r="A146" s="2" t="str">
        <f>"3.1.1.00.02- Honorarios conselho fiscal"</f>
        <v>3.1.1.00.02- Honorarios conselho fiscal</v>
      </c>
      <c r="B146" s="9">
        <v>7151.25</v>
      </c>
      <c r="C146" s="9">
        <v>7151.25</v>
      </c>
      <c r="D146" s="9">
        <v>14302.5</v>
      </c>
    </row>
    <row r="147" spans="1:4" x14ac:dyDescent="0.3">
      <c r="A147" s="2" t="str">
        <f>"3.1.1.00.03- Honorarios cons. administracao"</f>
        <v>3.1.1.00.03- Honorarios cons. administracao</v>
      </c>
      <c r="B147" s="9">
        <v>24538.6</v>
      </c>
      <c r="C147" s="9">
        <v>24538.6</v>
      </c>
      <c r="D147" s="9">
        <v>49077.2</v>
      </c>
    </row>
    <row r="148" spans="1:4" x14ac:dyDescent="0.3">
      <c r="A148" s="2" t="str">
        <f>"3.1.1.00.04- Salarios e adicionais"</f>
        <v>3.1.1.00.04- Salarios e adicionais</v>
      </c>
      <c r="B148" s="9">
        <v>6684703.0300000003</v>
      </c>
      <c r="C148" s="9">
        <v>7591603.6200000001</v>
      </c>
      <c r="D148" s="9">
        <v>14276306.65</v>
      </c>
    </row>
    <row r="149" spans="1:4" x14ac:dyDescent="0.3">
      <c r="A149" s="2" t="str">
        <f>"3.1.1.00.05- Ferias e abono pecuniario"</f>
        <v>3.1.1.00.05- Ferias e abono pecuniario</v>
      </c>
      <c r="B149" s="9">
        <v>1044647.33</v>
      </c>
      <c r="C149" s="9">
        <v>736647.8</v>
      </c>
      <c r="D149" s="9">
        <v>1781295.13</v>
      </c>
    </row>
    <row r="150" spans="1:4" x14ac:dyDescent="0.3">
      <c r="A150" s="2" t="str">
        <f>"3.1.1.00.06- Decimo terceiro salario"</f>
        <v>3.1.1.00.06- Decimo terceiro salario</v>
      </c>
      <c r="B150" s="9">
        <v>678457.51</v>
      </c>
      <c r="C150" s="9">
        <v>653912.59</v>
      </c>
      <c r="D150" s="9">
        <v>1332370.1000000001</v>
      </c>
    </row>
    <row r="151" spans="1:4" x14ac:dyDescent="0.3">
      <c r="A151" s="2" t="str">
        <f>"3.1.1.00.07- Indenizacoes trabalhistas"</f>
        <v>3.1.1.00.07- Indenizacoes trabalhistas</v>
      </c>
      <c r="B151" s="9">
        <v>811583.64</v>
      </c>
      <c r="C151" s="9">
        <v>249384.91</v>
      </c>
      <c r="D151" s="9">
        <v>1060968.55</v>
      </c>
    </row>
    <row r="152" spans="1:4" x14ac:dyDescent="0.3">
      <c r="A152" s="2" t="str">
        <f>"3.1.1.00.08- Bolsas de estagiario"</f>
        <v>3.1.1.00.08- Bolsas de estagiario</v>
      </c>
      <c r="B152" s="9">
        <v>27220.02</v>
      </c>
      <c r="C152" s="9">
        <v>23775.35</v>
      </c>
      <c r="D152" s="9">
        <v>50995.37</v>
      </c>
    </row>
    <row r="153" spans="1:4" x14ac:dyDescent="0.3">
      <c r="A153" s="2" t="str">
        <f>"3.1.2.01.00- ENCARGOS SOCIAIS"</f>
        <v>3.1.2.01.00- ENCARGOS SOCIAIS</v>
      </c>
      <c r="B153" s="9">
        <v>3142852.29</v>
      </c>
      <c r="C153" s="9">
        <v>3313593.5</v>
      </c>
      <c r="D153" s="9">
        <v>6456445.79</v>
      </c>
    </row>
    <row r="154" spans="1:4" x14ac:dyDescent="0.3">
      <c r="A154" s="2" t="str">
        <f>"3.1.2.01.01- INSS"</f>
        <v>3.1.2.01.01- INSS</v>
      </c>
      <c r="B154" s="9">
        <v>2416306.39</v>
      </c>
      <c r="C154" s="9">
        <v>2598915.4</v>
      </c>
      <c r="D154" s="9">
        <v>5015221.79</v>
      </c>
    </row>
    <row r="155" spans="1:4" x14ac:dyDescent="0.3">
      <c r="A155" s="2" t="str">
        <f>"3.1.2.01.02- FGTS"</f>
        <v>3.1.2.01.02- FGTS</v>
      </c>
      <c r="B155" s="9">
        <v>726545.9</v>
      </c>
      <c r="C155" s="9">
        <v>714678.1</v>
      </c>
      <c r="D155" s="9">
        <v>1441224</v>
      </c>
    </row>
    <row r="156" spans="1:4" x14ac:dyDescent="0.3">
      <c r="A156" s="2" t="str">
        <f>"3.1.2.02.00- OUTRAS DESPESAS COM PESSOAL"</f>
        <v>3.1.2.02.00- OUTRAS DESPESAS COM PESSOAL</v>
      </c>
      <c r="B156" s="9">
        <v>1674886.04</v>
      </c>
      <c r="C156" s="9">
        <v>1650408.75</v>
      </c>
      <c r="D156" s="9">
        <v>3325294.79</v>
      </c>
    </row>
    <row r="157" spans="1:4" x14ac:dyDescent="0.3">
      <c r="A157" s="2" t="str">
        <f>"3.1.2.02.01- Seguros de Vida"</f>
        <v>3.1.2.02.01- Seguros de Vida</v>
      </c>
      <c r="B157" s="9">
        <v>8075.05</v>
      </c>
      <c r="C157" s="9">
        <v>8108.56</v>
      </c>
      <c r="D157" s="9">
        <v>16183.61</v>
      </c>
    </row>
    <row r="158" spans="1:4" x14ac:dyDescent="0.3">
      <c r="A158" s="2" t="str">
        <f>"3.1.2.02.02- Ass. Medica Odontologica"</f>
        <v>3.1.2.02.02- Ass. Medica Odontologica</v>
      </c>
      <c r="B158" s="9">
        <v>707733.41</v>
      </c>
      <c r="C158" s="9">
        <v>685465.74</v>
      </c>
      <c r="D158" s="9">
        <v>1393199.15</v>
      </c>
    </row>
    <row r="159" spans="1:4" x14ac:dyDescent="0.3">
      <c r="A159" s="2" t="str">
        <f>"3.1.2.02.03- Vale Transporte"</f>
        <v>3.1.2.02.03- Vale Transporte</v>
      </c>
      <c r="B159" s="9">
        <v>57163.09</v>
      </c>
      <c r="C159" s="9">
        <v>47908.73</v>
      </c>
      <c r="D159" s="9">
        <v>105071.82</v>
      </c>
    </row>
    <row r="160" spans="1:4" x14ac:dyDescent="0.3">
      <c r="A160" s="2" t="str">
        <f>"3.1.2.02.04- Vale Refeicao/Alimentacao"</f>
        <v>3.1.2.02.04- Vale Refeicao/Alimentacao</v>
      </c>
      <c r="B160" s="9">
        <v>881438.18</v>
      </c>
      <c r="C160" s="9">
        <v>878403.75</v>
      </c>
      <c r="D160" s="9">
        <v>1759841.93</v>
      </c>
    </row>
    <row r="161" spans="1:4" x14ac:dyDescent="0.3">
      <c r="A161" s="2" t="str">
        <f>"3.1.2.02.05- Compl. Auxilio Doenca"</f>
        <v>3.1.2.02.05- Compl. Auxilio Doenca</v>
      </c>
      <c r="B161" s="9">
        <v>3803.32</v>
      </c>
      <c r="C161" s="9">
        <v>3793.61</v>
      </c>
      <c r="D161" s="9">
        <v>7596.93</v>
      </c>
    </row>
    <row r="162" spans="1:4" x14ac:dyDescent="0.3">
      <c r="A162" s="2" t="str">
        <f>"3.1.2.02.06- Cursos e Treinamentos"</f>
        <v>3.1.2.02.06- Cursos e Treinamentos</v>
      </c>
      <c r="B162" s="9">
        <v>0</v>
      </c>
      <c r="C162" s="9">
        <v>10762.53</v>
      </c>
      <c r="D162" s="9">
        <v>10762.53</v>
      </c>
    </row>
    <row r="163" spans="1:4" x14ac:dyDescent="0.3">
      <c r="A163" s="2" t="str">
        <f>"3.1.2.02.07- Auxilio Creche"</f>
        <v>3.1.2.02.07- Auxilio Creche</v>
      </c>
      <c r="B163" s="9">
        <v>16672.990000000002</v>
      </c>
      <c r="C163" s="9">
        <v>15965.83</v>
      </c>
      <c r="D163" s="9">
        <v>32638.82</v>
      </c>
    </row>
    <row r="164" spans="1:4" x14ac:dyDescent="0.3">
      <c r="A164" s="2" t="str">
        <f>"3.1.3.00.00- MATERIAIS"</f>
        <v>3.1.3.00.00- MATERIAIS</v>
      </c>
      <c r="B164" s="9">
        <v>30212.94</v>
      </c>
      <c r="C164" s="9">
        <v>56305.95</v>
      </c>
      <c r="D164" s="9">
        <v>86518.89</v>
      </c>
    </row>
    <row r="165" spans="1:4" x14ac:dyDescent="0.3">
      <c r="A165" s="2" t="str">
        <f>"3.1.3.00.08- Material seguranca e uniformes"</f>
        <v>3.1.3.00.08- Material seguranca e uniformes</v>
      </c>
      <c r="B165" s="9">
        <v>641.34</v>
      </c>
      <c r="C165" s="9">
        <v>188.7</v>
      </c>
      <c r="D165" s="9">
        <v>830.04</v>
      </c>
    </row>
    <row r="166" spans="1:4" x14ac:dyDescent="0.3">
      <c r="A166" s="2" t="str">
        <f>"3.1.3.00.09- Material limp/conserv/copa/cozin"</f>
        <v>3.1.3.00.09- Material limp/conserv/copa/cozin</v>
      </c>
      <c r="B166" s="9">
        <v>13074.25</v>
      </c>
      <c r="C166" s="9">
        <v>20949.82</v>
      </c>
      <c r="D166" s="9">
        <v>34024.07</v>
      </c>
    </row>
    <row r="167" spans="1:4" x14ac:dyDescent="0.3">
      <c r="A167" s="2" t="str">
        <f>"3.1.3.00.10- Impressos e material de escritorio"</f>
        <v>3.1.3.00.10- Impressos e material de escritorio</v>
      </c>
      <c r="B167" s="9">
        <v>5211.33</v>
      </c>
      <c r="C167" s="9">
        <v>5281.37</v>
      </c>
      <c r="D167" s="9">
        <v>10492.7</v>
      </c>
    </row>
    <row r="168" spans="1:4" x14ac:dyDescent="0.3">
      <c r="A168" s="2" t="str">
        <f>"3.1.3.00.11- Materiais manut. inst. prediais"</f>
        <v>3.1.3.00.11- Materiais manut. inst. prediais</v>
      </c>
      <c r="B168" s="9">
        <v>9104.73</v>
      </c>
      <c r="C168" s="9">
        <v>29064.76</v>
      </c>
      <c r="D168" s="9">
        <v>38169.49</v>
      </c>
    </row>
    <row r="169" spans="1:4" x14ac:dyDescent="0.3">
      <c r="A169" s="2" t="str">
        <f>"3.1.3.00.15- Materiais e supriment informatic"</f>
        <v>3.1.3.00.15- Materiais e supriment informatic</v>
      </c>
      <c r="B169" s="9">
        <v>178.8</v>
      </c>
      <c r="C169" s="9">
        <v>821.3</v>
      </c>
      <c r="D169" s="9">
        <v>1000.1</v>
      </c>
    </row>
    <row r="170" spans="1:4" x14ac:dyDescent="0.3">
      <c r="A170" s="2" t="str">
        <f>"3.1.3.00.99- Outros materiais"</f>
        <v>3.1.3.00.99- Outros materiais</v>
      </c>
      <c r="B170" s="9">
        <v>2002.49</v>
      </c>
      <c r="C170" s="9">
        <v>0</v>
      </c>
      <c r="D170" s="9">
        <v>2002.49</v>
      </c>
    </row>
    <row r="171" spans="1:4" x14ac:dyDescent="0.3">
      <c r="A171" s="2" t="str">
        <f>"3.1.4.00.00- SERVICOS PRESTADOS POR TERCEIROS"</f>
        <v>3.1.4.00.00- SERVICOS PRESTADOS POR TERCEIROS</v>
      </c>
      <c r="B171" s="9">
        <v>4018000.64</v>
      </c>
      <c r="C171" s="9">
        <v>5130043.95</v>
      </c>
      <c r="D171" s="9">
        <v>9148044.5899999999</v>
      </c>
    </row>
    <row r="172" spans="1:4" x14ac:dyDescent="0.3">
      <c r="A172" s="2" t="str">
        <f>"3.1.4.00.01- Consultoria"</f>
        <v>3.1.4.00.01- Consultoria</v>
      </c>
      <c r="B172" s="9">
        <v>455.73</v>
      </c>
      <c r="C172" s="9">
        <v>25646.39</v>
      </c>
      <c r="D172" s="9">
        <v>26102.12</v>
      </c>
    </row>
    <row r="173" spans="1:4" x14ac:dyDescent="0.3">
      <c r="A173" s="2" t="str">
        <f>"3.1.4.00.02- Locacao de veiculos"</f>
        <v>3.1.4.00.02- Locacao de veiculos</v>
      </c>
      <c r="B173" s="9">
        <v>6432.84</v>
      </c>
      <c r="C173" s="9">
        <v>6432.84</v>
      </c>
      <c r="D173" s="9">
        <v>12865.68</v>
      </c>
    </row>
    <row r="174" spans="1:4" x14ac:dyDescent="0.3">
      <c r="A174" s="2" t="str">
        <f>"3.1.4.00.03- Locacao de equipamentos"</f>
        <v>3.1.4.00.03- Locacao de equipamentos</v>
      </c>
      <c r="B174" s="9">
        <v>1636.24</v>
      </c>
      <c r="C174" s="9">
        <v>6716.26</v>
      </c>
      <c r="D174" s="9">
        <v>8352.5</v>
      </c>
    </row>
    <row r="175" spans="1:4" x14ac:dyDescent="0.3">
      <c r="A175" s="2" t="str">
        <f>"3.1.4.00.10- Mao de obra contratada"</f>
        <v>3.1.4.00.10- Mao de obra contratada</v>
      </c>
      <c r="B175" s="9">
        <v>2865987.22</v>
      </c>
      <c r="C175" s="9">
        <v>3855116.96</v>
      </c>
      <c r="D175" s="9">
        <v>6721104.1799999997</v>
      </c>
    </row>
    <row r="176" spans="1:4" x14ac:dyDescent="0.3">
      <c r="A176" s="2" t="str">
        <f>"3.1.4.00.13- Publicidade e divulgacao"</f>
        <v>3.1.4.00.13- Publicidade e divulgacao</v>
      </c>
      <c r="B176" s="9">
        <v>595.44000000000005</v>
      </c>
      <c r="C176" s="9">
        <v>198.48</v>
      </c>
      <c r="D176" s="9">
        <v>793.92</v>
      </c>
    </row>
    <row r="177" spans="1:4" x14ac:dyDescent="0.3">
      <c r="A177" s="2" t="str">
        <f>"3.1.4.00.14- Informatica-serv. e/ou locacao"</f>
        <v>3.1.4.00.14- Informatica-serv. e/ou locacao</v>
      </c>
      <c r="B177" s="9">
        <v>328068.52</v>
      </c>
      <c r="C177" s="9">
        <v>186033</v>
      </c>
      <c r="D177" s="9">
        <v>514101.52</v>
      </c>
    </row>
    <row r="178" spans="1:4" x14ac:dyDescent="0.3">
      <c r="A178" s="2" t="str">
        <f>"3.1.4.00.15- Outros serv. prestados - PF"</f>
        <v>3.1.4.00.15- Outros serv. prestados - PF</v>
      </c>
      <c r="B178" s="9">
        <v>36500.400000000001</v>
      </c>
      <c r="C178" s="9">
        <v>26881.23</v>
      </c>
      <c r="D178" s="9">
        <v>63381.63</v>
      </c>
    </row>
    <row r="179" spans="1:4" x14ac:dyDescent="0.3">
      <c r="A179" s="2" t="str">
        <f>"3.1.4.00.16- Outros serv. Prestados - PJ"</f>
        <v>3.1.4.00.16- Outros serv. Prestados - PJ</v>
      </c>
      <c r="B179" s="9">
        <v>383769.3</v>
      </c>
      <c r="C179" s="9">
        <v>149241.48000000001</v>
      </c>
      <c r="D179" s="9">
        <v>533010.78</v>
      </c>
    </row>
    <row r="180" spans="1:4" x14ac:dyDescent="0.3">
      <c r="A180" s="2" t="str">
        <f>"3.1.4.00.17- Servicos postais"</f>
        <v>3.1.4.00.17- Servicos postais</v>
      </c>
      <c r="B180" s="9">
        <v>6180.24</v>
      </c>
      <c r="C180" s="9">
        <v>6134.15</v>
      </c>
      <c r="D180" s="9">
        <v>12314.39</v>
      </c>
    </row>
    <row r="181" spans="1:4" x14ac:dyDescent="0.3">
      <c r="A181" s="2" t="str">
        <f>"3.1.4.00.19- Manut. imoveis/instal/equip.oper"</f>
        <v>3.1.4.00.19- Manut. imoveis/instal/equip.oper</v>
      </c>
      <c r="B181" s="9">
        <v>0</v>
      </c>
      <c r="C181" s="9">
        <v>21500</v>
      </c>
      <c r="D181" s="9">
        <v>21500</v>
      </c>
    </row>
    <row r="182" spans="1:4" x14ac:dyDescent="0.3">
      <c r="A182" s="2" t="str">
        <f>"3.1.4.00.26- Serv.limp.conserv."</f>
        <v>3.1.4.00.26- Serv.limp.conserv.</v>
      </c>
      <c r="B182" s="9">
        <v>252609.35</v>
      </c>
      <c r="C182" s="9">
        <v>733811.79</v>
      </c>
      <c r="D182" s="9">
        <v>986421.14</v>
      </c>
    </row>
    <row r="183" spans="1:4" x14ac:dyDescent="0.3">
      <c r="A183" s="2" t="str">
        <f>"3.1.4.00.32- Vale transporte"</f>
        <v>3.1.4.00.32- Vale transporte</v>
      </c>
      <c r="B183" s="9">
        <v>0</v>
      </c>
      <c r="C183" s="9">
        <v>10974.69</v>
      </c>
      <c r="D183" s="9">
        <v>10974.69</v>
      </c>
    </row>
    <row r="184" spans="1:4" x14ac:dyDescent="0.3">
      <c r="A184" s="2" t="str">
        <f>"3.1.4.00.33- Vale Ref./Al.terceir."</f>
        <v>3.1.4.00.33- Vale Ref./Al.terceir.</v>
      </c>
      <c r="B184" s="9">
        <v>80997.509999999995</v>
      </c>
      <c r="C184" s="9">
        <v>23739.05</v>
      </c>
      <c r="D184" s="9">
        <v>104736.56</v>
      </c>
    </row>
    <row r="185" spans="1:4" x14ac:dyDescent="0.3">
      <c r="A185" s="2" t="str">
        <f>"3.1.4.00.34- Comissao s/venda rotativo"</f>
        <v>3.1.4.00.34- Comissao s/venda rotativo</v>
      </c>
      <c r="B185" s="9">
        <v>5707.84</v>
      </c>
      <c r="C185" s="9">
        <v>0</v>
      </c>
      <c r="D185" s="9">
        <v>5707.84</v>
      </c>
    </row>
    <row r="186" spans="1:4" x14ac:dyDescent="0.3">
      <c r="A186" s="2" t="str">
        <f>"3.1.4.00.36- (-) Desconto ISSQN conf Lei 9145 serv. P"</f>
        <v>3.1.4.00.36- (-) Desconto ISSQN conf Lei 9145 serv. P</v>
      </c>
      <c r="B186" s="9">
        <v>-184273.32</v>
      </c>
      <c r="C186" s="9">
        <v>-155715.70000000001</v>
      </c>
      <c r="D186" s="9">
        <v>-339989.02</v>
      </c>
    </row>
    <row r="187" spans="1:4" x14ac:dyDescent="0.3">
      <c r="A187" s="2" t="str">
        <f>"3.1.4.00.39- Convênio Guarda Municipal"</f>
        <v>3.1.4.00.39- Convênio Guarda Municipal</v>
      </c>
      <c r="B187" s="9">
        <v>233333.33</v>
      </c>
      <c r="C187" s="9">
        <v>233333.33</v>
      </c>
      <c r="D187" s="9">
        <v>466666.66</v>
      </c>
    </row>
    <row r="188" spans="1:4" x14ac:dyDescent="0.3">
      <c r="A188" s="2" t="str">
        <f>"3.1.5.00.00- TARIFAS PUBLICAS"</f>
        <v>3.1.5.00.00- TARIFAS PUBLICAS</v>
      </c>
      <c r="B188" s="9">
        <v>118274.98</v>
      </c>
      <c r="C188" s="9">
        <v>43076.05</v>
      </c>
      <c r="D188" s="9">
        <v>161351.03</v>
      </c>
    </row>
    <row r="189" spans="1:4" x14ac:dyDescent="0.3">
      <c r="A189" s="2" t="str">
        <f>"3.1.5.00.02- Energia eletrica"</f>
        <v>3.1.5.00.02- Energia eletrica</v>
      </c>
      <c r="B189" s="9">
        <v>77085.350000000006</v>
      </c>
      <c r="C189" s="9">
        <v>0</v>
      </c>
      <c r="D189" s="9">
        <v>77085.350000000006</v>
      </c>
    </row>
    <row r="190" spans="1:4" x14ac:dyDescent="0.3">
      <c r="A190" s="2" t="str">
        <f>"3.1.5.00.03- Telefone"</f>
        <v>3.1.5.00.03- Telefone</v>
      </c>
      <c r="B190" s="9">
        <v>41189.629999999997</v>
      </c>
      <c r="C190" s="9">
        <v>43076.05</v>
      </c>
      <c r="D190" s="9">
        <v>84265.68</v>
      </c>
    </row>
    <row r="191" spans="1:4" x14ac:dyDescent="0.3">
      <c r="A191" s="2" t="str">
        <f>"3.1.6.00.00- DESPESAS TRIBUTARIAS"</f>
        <v>3.1.6.00.00- DESPESAS TRIBUTARIAS</v>
      </c>
      <c r="B191" s="9">
        <v>252805.44</v>
      </c>
      <c r="C191" s="9">
        <v>236023.93</v>
      </c>
      <c r="D191" s="9">
        <v>488829.37</v>
      </c>
    </row>
    <row r="192" spans="1:4" x14ac:dyDescent="0.3">
      <c r="A192" s="2" t="str">
        <f>"3.1.6.00.01- Taxas legais"</f>
        <v>3.1.6.00.01- Taxas legais</v>
      </c>
      <c r="B192" s="9">
        <v>0</v>
      </c>
      <c r="C192" s="9">
        <v>465.88</v>
      </c>
      <c r="D192" s="9">
        <v>465.88</v>
      </c>
    </row>
    <row r="193" spans="1:4" x14ac:dyDescent="0.3">
      <c r="A193" s="2" t="str">
        <f>"3.1.6.00.03- IOF"</f>
        <v>3.1.6.00.03- IOF</v>
      </c>
      <c r="B193" s="9">
        <v>0</v>
      </c>
      <c r="C193" s="9">
        <v>3917.58</v>
      </c>
      <c r="D193" s="9">
        <v>3917.58</v>
      </c>
    </row>
    <row r="194" spans="1:4" x14ac:dyDescent="0.3">
      <c r="A194" s="2" t="str">
        <f>"3.1.6.00.06- PIS"</f>
        <v>3.1.6.00.06- PIS</v>
      </c>
      <c r="B194" s="9">
        <v>42477.440000000002</v>
      </c>
      <c r="C194" s="9">
        <v>39332.800000000003</v>
      </c>
      <c r="D194" s="9">
        <v>81810.240000000005</v>
      </c>
    </row>
    <row r="195" spans="1:4" x14ac:dyDescent="0.3">
      <c r="A195" s="2" t="str">
        <f>"3.1.6.00.07- COFINS"</f>
        <v>3.1.6.00.07- COFINS</v>
      </c>
      <c r="B195" s="9">
        <v>195653.67</v>
      </c>
      <c r="C195" s="9">
        <v>181169.28</v>
      </c>
      <c r="D195" s="9">
        <v>376822.95</v>
      </c>
    </row>
    <row r="196" spans="1:4" x14ac:dyDescent="0.3">
      <c r="A196" s="2" t="str">
        <f>"3.1.6.00.15- INSS Serv.terceiros"</f>
        <v>3.1.6.00.15- INSS Serv.terceiros</v>
      </c>
      <c r="B196" s="9">
        <v>7302.22</v>
      </c>
      <c r="C196" s="9">
        <v>5376.3</v>
      </c>
      <c r="D196" s="9">
        <v>12678.52</v>
      </c>
    </row>
    <row r="197" spans="1:4" x14ac:dyDescent="0.3">
      <c r="A197" s="2" t="str">
        <f>"3.1.6.00.17- PIS s/ receitas financeiras"</f>
        <v>3.1.6.00.17- PIS s/ receitas financeiras</v>
      </c>
      <c r="B197" s="9">
        <v>1030.51</v>
      </c>
      <c r="C197" s="9">
        <v>805.45</v>
      </c>
      <c r="D197" s="9">
        <v>1835.96</v>
      </c>
    </row>
    <row r="198" spans="1:4" x14ac:dyDescent="0.3">
      <c r="A198" s="2" t="str">
        <f>"3.1.6.00.18- Cofins s/ receitas financeiras"</f>
        <v>3.1.6.00.18- Cofins s/ receitas financeiras</v>
      </c>
      <c r="B198" s="9">
        <v>6341.6</v>
      </c>
      <c r="C198" s="9">
        <v>4956.6400000000003</v>
      </c>
      <c r="D198" s="9">
        <v>11298.24</v>
      </c>
    </row>
    <row r="199" spans="1:4" x14ac:dyDescent="0.3">
      <c r="A199" s="2" t="str">
        <f>"3.1.7.00.00- DESPESAS FINANCEIRAS"</f>
        <v>3.1.7.00.00- DESPESAS FINANCEIRAS</v>
      </c>
      <c r="B199" s="9">
        <v>81.040000000000006</v>
      </c>
      <c r="C199" s="9">
        <v>126.98</v>
      </c>
      <c r="D199" s="9">
        <v>208.02</v>
      </c>
    </row>
    <row r="200" spans="1:4" x14ac:dyDescent="0.3">
      <c r="A200" s="2" t="str">
        <f>"3.1.7.01.02- Despesas bancarias"</f>
        <v>3.1.7.01.02- Despesas bancarias</v>
      </c>
      <c r="B200" s="9">
        <v>81.040000000000006</v>
      </c>
      <c r="C200" s="9">
        <v>126.98</v>
      </c>
      <c r="D200" s="9">
        <v>208.02</v>
      </c>
    </row>
    <row r="201" spans="1:4" x14ac:dyDescent="0.3">
      <c r="A201" s="2" t="str">
        <f>"3.1.8.00.00- OUTRAS DESPESAS"</f>
        <v>3.1.8.00.00- OUTRAS DESPESAS</v>
      </c>
      <c r="B201" s="9">
        <v>296545.31</v>
      </c>
      <c r="C201" s="9">
        <v>447763.95</v>
      </c>
      <c r="D201" s="9">
        <v>744309.26</v>
      </c>
    </row>
    <row r="202" spans="1:4" x14ac:dyDescent="0.3">
      <c r="A202" s="2" t="str">
        <f>"3.1.8.00.05- Depreciacao/amort"</f>
        <v>3.1.8.00.05- Depreciacao/amort</v>
      </c>
      <c r="B202" s="9">
        <v>26336.38</v>
      </c>
      <c r="C202" s="9">
        <v>26323.21</v>
      </c>
      <c r="D202" s="9">
        <v>52659.59</v>
      </c>
    </row>
    <row r="203" spans="1:4" x14ac:dyDescent="0.3">
      <c r="A203" s="2" t="str">
        <f>"3.1.8.00.06- Seguros bens moveis e imoveis"</f>
        <v>3.1.8.00.06- Seguros bens moveis e imoveis</v>
      </c>
      <c r="B203" s="9">
        <v>2084.13</v>
      </c>
      <c r="C203" s="9">
        <v>2084.13</v>
      </c>
      <c r="D203" s="9">
        <v>4168.26</v>
      </c>
    </row>
    <row r="204" spans="1:4" x14ac:dyDescent="0.3">
      <c r="A204" s="2" t="str">
        <f>"3.1.8.00.16- Baixa de imobilizado"</f>
        <v>3.1.8.00.16- Baixa de imobilizado</v>
      </c>
      <c r="B204" s="9">
        <v>2609.42</v>
      </c>
      <c r="C204" s="9">
        <v>0</v>
      </c>
      <c r="D204" s="9">
        <v>2609.42</v>
      </c>
    </row>
    <row r="205" spans="1:4" x14ac:dyDescent="0.3">
      <c r="A205" s="2" t="str">
        <f>"3.1.8.00.23- Custas/Despesas Judiciais"</f>
        <v>3.1.8.00.23- Custas/Despesas Judiciais</v>
      </c>
      <c r="B205" s="9">
        <v>3717.3</v>
      </c>
      <c r="C205" s="9">
        <v>22849.17</v>
      </c>
      <c r="D205" s="9">
        <v>26566.47</v>
      </c>
    </row>
    <row r="206" spans="1:4" x14ac:dyDescent="0.3">
      <c r="A206" s="2" t="str">
        <f>"3.1.8.00.30- Estacionamento Rotativo Digital"</f>
        <v>3.1.8.00.30- Estacionamento Rotativo Digital</v>
      </c>
      <c r="B206" s="9">
        <v>261798.08</v>
      </c>
      <c r="C206" s="9">
        <v>392292.45</v>
      </c>
      <c r="D206" s="9">
        <v>654090.53</v>
      </c>
    </row>
    <row r="207" spans="1:4" x14ac:dyDescent="0.3">
      <c r="A207" s="2" t="str">
        <f>"3.1.8.00.99- Despesas diversas"</f>
        <v>3.1.8.00.99- Despesas diversas</v>
      </c>
      <c r="B207" s="9">
        <v>0</v>
      </c>
      <c r="C207" s="9">
        <v>4214.99</v>
      </c>
      <c r="D207" s="9">
        <v>4214.99</v>
      </c>
    </row>
    <row r="208" spans="1:4" x14ac:dyDescent="0.3">
      <c r="A208" s="2" t="str">
        <f>""</f>
        <v/>
      </c>
      <c r="B208" s="3" t="str">
        <f>""</f>
        <v/>
      </c>
      <c r="C208" s="3" t="str">
        <f>""</f>
        <v/>
      </c>
      <c r="D208" s="3" t="str">
        <f>""</f>
        <v/>
      </c>
    </row>
    <row r="209" spans="1:4" x14ac:dyDescent="0.3">
      <c r="A209" s="2" t="str">
        <f>"RECEITAS"</f>
        <v>RECEITAS</v>
      </c>
      <c r="B209" s="3" t="str">
        <f>""</f>
        <v/>
      </c>
      <c r="C209" s="3" t="str">
        <f>""</f>
        <v/>
      </c>
      <c r="D209" s="3" t="str">
        <f>""</f>
        <v/>
      </c>
    </row>
    <row r="210" spans="1:4" x14ac:dyDescent="0.3">
      <c r="A210" s="2" t="str">
        <f>"4.0.0.00.00- RECEITAS"</f>
        <v>4.0.0.00.00- RECEITAS</v>
      </c>
      <c r="B210" s="9">
        <v>17918585.170000002</v>
      </c>
      <c r="C210" s="9">
        <v>20112997.239999998</v>
      </c>
      <c r="D210" s="9">
        <v>38031582.409999996</v>
      </c>
    </row>
    <row r="211" spans="1:4" x14ac:dyDescent="0.3">
      <c r="A211" s="2" t="str">
        <f>"4.1.0.00.00- RECEITAS BHTRANS"</f>
        <v>4.1.0.00.00- RECEITAS BHTRANS</v>
      </c>
      <c r="B211" s="9">
        <v>2537627.94</v>
      </c>
      <c r="C211" s="9">
        <v>2100203.14</v>
      </c>
      <c r="D211" s="9">
        <v>4637831.08</v>
      </c>
    </row>
    <row r="212" spans="1:4" x14ac:dyDescent="0.3">
      <c r="A212" s="2" t="str">
        <f>"4.1.1.00.00- RECEITAS OPERACIONAIS"</f>
        <v>4.1.1.00.00- RECEITAS OPERACIONAIS</v>
      </c>
      <c r="B212" s="9">
        <v>2400750</v>
      </c>
      <c r="C212" s="9">
        <v>2004750</v>
      </c>
      <c r="D212" s="9">
        <v>4405500</v>
      </c>
    </row>
    <row r="213" spans="1:4" x14ac:dyDescent="0.3">
      <c r="A213" s="2" t="str">
        <f>"4.1.1.00.21- Estacionamento Rotativo Digital"</f>
        <v>4.1.1.00.21- Estacionamento Rotativo Digital</v>
      </c>
      <c r="B213" s="9">
        <v>2400750</v>
      </c>
      <c r="C213" s="9">
        <v>2004750</v>
      </c>
      <c r="D213" s="9">
        <v>4405500</v>
      </c>
    </row>
    <row r="214" spans="1:4" x14ac:dyDescent="0.3">
      <c r="A214" s="2" t="str">
        <f>"4.1.8.00.00- RECEITAS ALUGUEIS ESTACOES"</f>
        <v>4.1.8.00.00- RECEITAS ALUGUEIS ESTACOES</v>
      </c>
      <c r="B214" s="9">
        <v>136877.94</v>
      </c>
      <c r="C214" s="9">
        <v>95453.14</v>
      </c>
      <c r="D214" s="9">
        <v>232331.08</v>
      </c>
    </row>
    <row r="215" spans="1:4" x14ac:dyDescent="0.3">
      <c r="A215" s="2" t="str">
        <f>"4.1.8.00.01- Alugueis Estacoes"</f>
        <v>4.1.8.00.01- Alugueis Estacoes</v>
      </c>
      <c r="B215" s="9">
        <v>136877.94</v>
      </c>
      <c r="C215" s="9">
        <v>95453.14</v>
      </c>
      <c r="D215" s="9">
        <v>232331.08</v>
      </c>
    </row>
    <row r="216" spans="1:4" x14ac:dyDescent="0.3">
      <c r="A216" s="2" t="str">
        <f>"4.2.0.00.00- RECEITAS FINANCEIRAS"</f>
        <v>4.2.0.00.00- RECEITAS FINANCEIRAS</v>
      </c>
      <c r="B216" s="9">
        <v>158539.93</v>
      </c>
      <c r="C216" s="9">
        <v>123916.04</v>
      </c>
      <c r="D216" s="9">
        <v>282455.96999999997</v>
      </c>
    </row>
    <row r="217" spans="1:4" x14ac:dyDescent="0.3">
      <c r="A217" s="2" t="str">
        <f>"4.2.1.00.00- RECEITAS FINANCEIRAS"</f>
        <v>4.2.1.00.00- RECEITAS FINANCEIRAS</v>
      </c>
      <c r="B217" s="9">
        <v>158539.93</v>
      </c>
      <c r="C217" s="9">
        <v>123916.04</v>
      </c>
      <c r="D217" s="9">
        <v>282455.96999999997</v>
      </c>
    </row>
    <row r="218" spans="1:4" x14ac:dyDescent="0.3">
      <c r="A218" s="2" t="str">
        <f>"4.2.1.00.01- Rendimentos aplic. Financeira"</f>
        <v>4.2.1.00.01- Rendimentos aplic. Financeira</v>
      </c>
      <c r="B218" s="9">
        <v>150879.28</v>
      </c>
      <c r="C218" s="9">
        <v>123916.04</v>
      </c>
      <c r="D218" s="9">
        <v>274795.32</v>
      </c>
    </row>
    <row r="219" spans="1:4" x14ac:dyDescent="0.3">
      <c r="A219" s="2" t="str">
        <f>"4.2.1.00.05- Receitas Financeiras"</f>
        <v>4.2.1.00.05- Receitas Financeiras</v>
      </c>
      <c r="B219" s="9">
        <v>7660.65</v>
      </c>
      <c r="C219" s="9">
        <v>0</v>
      </c>
      <c r="D219" s="9">
        <v>7660.65</v>
      </c>
    </row>
    <row r="220" spans="1:4" x14ac:dyDescent="0.3">
      <c r="A220" s="2" t="str">
        <f>"4.3.0.00.00- OUTRAS RECEITAS"</f>
        <v>4.3.0.00.00- OUTRAS RECEITAS</v>
      </c>
      <c r="B220" s="9">
        <v>15222417.300000001</v>
      </c>
      <c r="C220" s="9">
        <v>17888878.059999999</v>
      </c>
      <c r="D220" s="9">
        <v>33111295.359999999</v>
      </c>
    </row>
    <row r="221" spans="1:4" x14ac:dyDescent="0.3">
      <c r="A221" s="2" t="str">
        <f>"4.3.1.00.00- OUTRAS RECEITAS"</f>
        <v>4.3.1.00.00- OUTRAS RECEITAS</v>
      </c>
      <c r="B221" s="9">
        <v>15222417.300000001</v>
      </c>
      <c r="C221" s="9">
        <v>17888878.059999999</v>
      </c>
      <c r="D221" s="9">
        <v>33111295.359999999</v>
      </c>
    </row>
    <row r="222" spans="1:4" x14ac:dyDescent="0.3">
      <c r="A222" s="2" t="str">
        <f>"4.3.1.00.04- Receitas Diversas"</f>
        <v>4.3.1.00.04- Receitas Diversas</v>
      </c>
      <c r="B222" s="9">
        <v>36762.49</v>
      </c>
      <c r="C222" s="9">
        <v>283603.19</v>
      </c>
      <c r="D222" s="9">
        <v>320365.68</v>
      </c>
    </row>
    <row r="223" spans="1:4" x14ac:dyDescent="0.3">
      <c r="A223" s="2" t="str">
        <f>"4.3.1.00.10- Outras Receitas- Subvenção Econ. Custeio"</f>
        <v>4.3.1.00.10- Outras Receitas- Subvenção Econ. Custeio</v>
      </c>
      <c r="B223" s="9">
        <v>15185654.810000001</v>
      </c>
      <c r="C223" s="9">
        <v>17605274.870000001</v>
      </c>
      <c r="D223" s="9">
        <v>32790929.68</v>
      </c>
    </row>
    <row r="224" spans="1:4" x14ac:dyDescent="0.3">
      <c r="A224" s="2" t="str">
        <f>""</f>
        <v/>
      </c>
      <c r="B224" s="3" t="str">
        <f>""</f>
        <v/>
      </c>
      <c r="C224" s="3" t="str">
        <f>""</f>
        <v/>
      </c>
      <c r="D224" s="3" t="str">
        <f>""</f>
        <v/>
      </c>
    </row>
    <row r="225" spans="1:4" x14ac:dyDescent="0.3">
      <c r="A225" s="2" t="str">
        <f>"APURACAO DE RESULTADOS"</f>
        <v>APURACAO DE RESULTADOS</v>
      </c>
      <c r="B225" s="3" t="str">
        <f>""</f>
        <v/>
      </c>
      <c r="C225" s="3" t="str">
        <f>""</f>
        <v/>
      </c>
      <c r="D225" s="3" t="str">
        <f>""</f>
        <v/>
      </c>
    </row>
    <row r="226" spans="1:4" x14ac:dyDescent="0.3">
      <c r="A226" s="2" t="str">
        <f>"5.0.0.00.00- APURACAO DE RESULTADOS"</f>
        <v>5.0.0.00.00- APURACAO DE RESULTADOS</v>
      </c>
      <c r="B226" s="9">
        <v>-964140.17</v>
      </c>
      <c r="C226" s="9">
        <v>-131641.34</v>
      </c>
      <c r="D226" s="9">
        <v>-1095781.51</v>
      </c>
    </row>
    <row r="227" spans="1:4" x14ac:dyDescent="0.3">
      <c r="A227" s="2" t="str">
        <f>"5.1.0.00.00- APURACAO DE RESULTADOS"</f>
        <v>5.1.0.00.00- APURACAO DE RESULTADOS</v>
      </c>
      <c r="B227" s="9">
        <v>-964140.17</v>
      </c>
      <c r="C227" s="9">
        <v>-131641.34</v>
      </c>
      <c r="D227" s="9">
        <v>-1095781.51</v>
      </c>
    </row>
    <row r="228" spans="1:4" x14ac:dyDescent="0.3">
      <c r="A228" s="2" t="str">
        <f>"5.1.1.00.00- APURACAO DE RESULTADOS"</f>
        <v>5.1.1.00.00- APURACAO DE RESULTADOS</v>
      </c>
      <c r="B228" s="9">
        <v>-964140.17</v>
      </c>
      <c r="C228" s="9">
        <v>-131641.34</v>
      </c>
      <c r="D228" s="9">
        <v>-1095781.51</v>
      </c>
    </row>
    <row r="229" spans="1:4" x14ac:dyDescent="0.3">
      <c r="A229" s="2" t="str">
        <f>"5.1.1.00.01- Transferencia das Despesas"</f>
        <v>5.1.1.00.01- Transferencia das Despesas</v>
      </c>
      <c r="B229" s="9">
        <v>-18882725.34</v>
      </c>
      <c r="C229" s="9">
        <v>-20244638.579999998</v>
      </c>
      <c r="D229" s="9">
        <v>-39127363.920000002</v>
      </c>
    </row>
    <row r="230" spans="1:4" ht="15" thickBot="1" x14ac:dyDescent="0.35">
      <c r="A230" s="4" t="str">
        <f>"5.1.1.00.02- Transferencia das Receitas"</f>
        <v>5.1.1.00.02- Transferencia das Receitas</v>
      </c>
      <c r="B230" s="10">
        <v>17918585.170000002</v>
      </c>
      <c r="C230" s="10">
        <v>20112997.239999998</v>
      </c>
      <c r="D230" s="10">
        <v>38031582.409999996</v>
      </c>
    </row>
    <row r="231" spans="1:4" x14ac:dyDescent="0.3">
      <c r="A231" t="s">
        <v>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21F6-F899-406A-8D39-C6384E3B446C}">
  <dimension ref="A1:D233"/>
  <sheetViews>
    <sheetView workbookViewId="0">
      <selection sqref="A1:D1048576"/>
    </sheetView>
  </sheetViews>
  <sheetFormatPr defaultRowHeight="14.4" x14ac:dyDescent="0.3"/>
  <cols>
    <col min="1" max="1" width="69.5546875" bestFit="1" customWidth="1"/>
    <col min="2" max="2" width="14.33203125" bestFit="1" customWidth="1"/>
    <col min="3" max="3" width="13.88671875" bestFit="1" customWidth="1"/>
    <col min="4" max="4" width="14.33203125" bestFit="1" customWidth="1"/>
  </cols>
  <sheetData>
    <row r="1" spans="1:4" ht="18.600000000000001" thickBot="1" x14ac:dyDescent="0.4">
      <c r="A1" s="1" t="s">
        <v>7</v>
      </c>
      <c r="B1" s="1"/>
      <c r="C1" s="1"/>
      <c r="D1" s="1"/>
    </row>
    <row r="2" spans="1:4" ht="15" thickBot="1" x14ac:dyDescent="0.35">
      <c r="A2" s="7" t="s">
        <v>1</v>
      </c>
      <c r="B2" s="8" t="s">
        <v>2</v>
      </c>
      <c r="C2" s="8" t="s">
        <v>3</v>
      </c>
      <c r="D2" s="8" t="s">
        <v>4</v>
      </c>
    </row>
    <row r="3" spans="1:4" x14ac:dyDescent="0.3">
      <c r="A3" s="5" t="str">
        <f>"ATIVO"</f>
        <v>ATIVO</v>
      </c>
      <c r="B3" s="6" t="str">
        <f>""</f>
        <v/>
      </c>
      <c r="C3" s="6" t="str">
        <f>""</f>
        <v/>
      </c>
      <c r="D3" s="6" t="str">
        <f>""</f>
        <v/>
      </c>
    </row>
    <row r="4" spans="1:4" x14ac:dyDescent="0.3">
      <c r="A4" s="2" t="str">
        <f>"1.0.0.00.00- ATIVO"</f>
        <v>1.0.0.00.00- ATIVO</v>
      </c>
      <c r="B4" s="9">
        <v>57494553.140000001</v>
      </c>
      <c r="C4" s="9">
        <v>886723.98</v>
      </c>
      <c r="D4" s="9">
        <v>58381277.119999997</v>
      </c>
    </row>
    <row r="5" spans="1:4" x14ac:dyDescent="0.3">
      <c r="A5" s="2" t="str">
        <f>"1.1.0.00.00- ATIVO CIRCULANTE"</f>
        <v>1.1.0.00.00- ATIVO CIRCULANTE</v>
      </c>
      <c r="B5" s="9">
        <v>23493187.969999999</v>
      </c>
      <c r="C5" s="9">
        <v>890290.51</v>
      </c>
      <c r="D5" s="9">
        <v>24383478.48</v>
      </c>
    </row>
    <row r="6" spans="1:4" x14ac:dyDescent="0.3">
      <c r="A6" s="2" t="str">
        <f>"1.1.1.00.00- DISPONIVEL"</f>
        <v>1.1.1.00.00- DISPONIVEL</v>
      </c>
      <c r="B6" s="9">
        <v>15306353.199999999</v>
      </c>
      <c r="C6" s="9">
        <v>1344845.6</v>
      </c>
      <c r="D6" s="9">
        <v>16651198.800000001</v>
      </c>
    </row>
    <row r="7" spans="1:4" x14ac:dyDescent="0.3">
      <c r="A7" s="2" t="str">
        <f>"1.1.1.02.00- BANCOS C/MOVIMENTO"</f>
        <v>1.1.1.02.00- BANCOS C/MOVIMENTO</v>
      </c>
      <c r="B7" s="9">
        <v>94258.48</v>
      </c>
      <c r="C7" s="9">
        <v>-92239.42</v>
      </c>
      <c r="D7" s="9">
        <v>2019.06</v>
      </c>
    </row>
    <row r="8" spans="1:4" x14ac:dyDescent="0.3">
      <c r="A8" s="2" t="str">
        <f>"1.1.1.02.28- Bradesco S/A - 2602-6"</f>
        <v>1.1.1.02.28- Bradesco S/A - 2602-6</v>
      </c>
      <c r="B8" s="9">
        <v>93167.15</v>
      </c>
      <c r="C8" s="9">
        <v>-93167.15</v>
      </c>
      <c r="D8" s="9">
        <v>0</v>
      </c>
    </row>
    <row r="9" spans="1:4" x14ac:dyDescent="0.3">
      <c r="A9" s="2" t="str">
        <f>"1.1.1.02.31- Caixa Econômica Federal - 94511-6 - ROT"</f>
        <v>1.1.1.02.31- Caixa Econômica Federal - 94511-6 - ROT</v>
      </c>
      <c r="B9" s="9">
        <v>1091.33</v>
      </c>
      <c r="C9" s="9">
        <v>927.73</v>
      </c>
      <c r="D9" s="9">
        <v>2019.06</v>
      </c>
    </row>
    <row r="10" spans="1:4" x14ac:dyDescent="0.3">
      <c r="A10" s="2" t="str">
        <f>"1.1.1.03.00- APLICACOES FINANCEIRAS"</f>
        <v>1.1.1.03.00- APLICACOES FINANCEIRAS</v>
      </c>
      <c r="B10" s="9">
        <v>13647397.380000001</v>
      </c>
      <c r="C10" s="9">
        <v>1422783.83</v>
      </c>
      <c r="D10" s="9">
        <v>15070181.210000001</v>
      </c>
    </row>
    <row r="11" spans="1:4" x14ac:dyDescent="0.3">
      <c r="A11" s="2" t="str">
        <f>"1.1.1.03.22- Caixa Econômica Federal - 94505-1"</f>
        <v>1.1.1.03.22- Caixa Econômica Federal - 94505-1</v>
      </c>
      <c r="B11" s="9">
        <v>1865104.01</v>
      </c>
      <c r="C11" s="9">
        <v>3224555.56</v>
      </c>
      <c r="D11" s="9">
        <v>5089659.57</v>
      </c>
    </row>
    <row r="12" spans="1:4" x14ac:dyDescent="0.3">
      <c r="A12" s="2" t="str">
        <f>"1.1.1.03.23- Caixa Econômica Federal - 94506-0"</f>
        <v>1.1.1.03.23- Caixa Econômica Federal - 94506-0</v>
      </c>
      <c r="B12" s="9">
        <v>11496879.83</v>
      </c>
      <c r="C12" s="9">
        <v>-1804249.18</v>
      </c>
      <c r="D12" s="9">
        <v>9692630.6500000004</v>
      </c>
    </row>
    <row r="13" spans="1:4" x14ac:dyDescent="0.3">
      <c r="A13" s="2" t="str">
        <f>"1.1.1.03.32- Caixa Econômica Federal - 94513-2 Mídia"</f>
        <v>1.1.1.03.32- Caixa Econômica Federal - 94513-2 Mídia</v>
      </c>
      <c r="B13" s="9">
        <v>130017.63</v>
      </c>
      <c r="C13" s="9">
        <v>1224.8</v>
      </c>
      <c r="D13" s="9">
        <v>131242.43</v>
      </c>
    </row>
    <row r="14" spans="1:4" x14ac:dyDescent="0.3">
      <c r="A14" s="2" t="str">
        <f>"1.1.1.03.36- Caixa Econômica Federal - 94528-0 Sucumb"</f>
        <v>1.1.1.03.36- Caixa Econômica Federal - 94528-0 Sucumb</v>
      </c>
      <c r="B14" s="9">
        <v>142005.6</v>
      </c>
      <c r="C14" s="9">
        <v>1248.56</v>
      </c>
      <c r="D14" s="9">
        <v>143254.16</v>
      </c>
    </row>
    <row r="15" spans="1:4" x14ac:dyDescent="0.3">
      <c r="A15" s="2" t="str">
        <f>"1.1.1.03.49- Caixa Econômica Federal - 744797076-0"</f>
        <v>1.1.1.03.49- Caixa Econômica Federal - 744797076-0</v>
      </c>
      <c r="B15" s="9">
        <v>13390.31</v>
      </c>
      <c r="C15" s="9">
        <v>4.09</v>
      </c>
      <c r="D15" s="9">
        <v>13394.4</v>
      </c>
    </row>
    <row r="16" spans="1:4" x14ac:dyDescent="0.3">
      <c r="A16" s="2" t="str">
        <f>"1.1.1.04.00- BANCOS C/VINCULADA"</f>
        <v>1.1.1.04.00- BANCOS C/VINCULADA</v>
      </c>
      <c r="B16" s="9">
        <v>1564697.34</v>
      </c>
      <c r="C16" s="9">
        <v>14301.19</v>
      </c>
      <c r="D16" s="9">
        <v>1578998.53</v>
      </c>
    </row>
    <row r="17" spans="1:4" x14ac:dyDescent="0.3">
      <c r="A17" s="2" t="str">
        <f>"1.1.1.04.10- Caixa Econômica Federal - 94521-3 Caução"</f>
        <v>1.1.1.04.10- Caixa Econômica Federal - 94521-3 Caução</v>
      </c>
      <c r="B17" s="9">
        <v>141546.53</v>
      </c>
      <c r="C17" s="9">
        <v>1290.8900000000001</v>
      </c>
      <c r="D17" s="9">
        <v>142837.42000000001</v>
      </c>
    </row>
    <row r="18" spans="1:4" x14ac:dyDescent="0.3">
      <c r="A18" s="2" t="str">
        <f>"1.1.1.04.12- Caixa Econômica Federal - 94627-9 Leilão"</f>
        <v>1.1.1.04.12- Caixa Econômica Federal - 94627-9 Leilão</v>
      </c>
      <c r="B18" s="9">
        <v>1423150.81</v>
      </c>
      <c r="C18" s="9">
        <v>13010.3</v>
      </c>
      <c r="D18" s="9">
        <v>1436161.11</v>
      </c>
    </row>
    <row r="19" spans="1:4" x14ac:dyDescent="0.3">
      <c r="A19" s="2" t="str">
        <f>"1.1.2.00.00- REALIZAVEL A CURTO PRAZO"</f>
        <v>1.1.2.00.00- REALIZAVEL A CURTO PRAZO</v>
      </c>
      <c r="B19" s="9">
        <v>8186834.7699999996</v>
      </c>
      <c r="C19" s="9">
        <v>-454555.09</v>
      </c>
      <c r="D19" s="9">
        <v>7732279.6799999997</v>
      </c>
    </row>
    <row r="20" spans="1:4" x14ac:dyDescent="0.3">
      <c r="A20" s="2" t="str">
        <f>"1.1.2.01.00- CONTAS A RECEBER"</f>
        <v>1.1.2.01.00- CONTAS A RECEBER</v>
      </c>
      <c r="B20" s="9">
        <v>253567.34</v>
      </c>
      <c r="C20" s="9">
        <v>0</v>
      </c>
      <c r="D20" s="9">
        <v>253567.34</v>
      </c>
    </row>
    <row r="21" spans="1:4" x14ac:dyDescent="0.3">
      <c r="A21" s="2" t="str">
        <f>"1.1.2.01.94- Midia Onibus a Receber"</f>
        <v>1.1.2.01.94- Midia Onibus a Receber</v>
      </c>
      <c r="B21" s="9">
        <v>253567.34</v>
      </c>
      <c r="C21" s="9">
        <v>0</v>
      </c>
      <c r="D21" s="9">
        <v>253567.34</v>
      </c>
    </row>
    <row r="22" spans="1:4" x14ac:dyDescent="0.3">
      <c r="A22" s="2" t="str">
        <f>"1.1.2.06.00- ADIANTAMENTO A EMPREGADOS"</f>
        <v>1.1.2.06.00- ADIANTAMENTO A EMPREGADOS</v>
      </c>
      <c r="B22" s="9">
        <v>2619694.84</v>
      </c>
      <c r="C22" s="9">
        <v>-100155.96</v>
      </c>
      <c r="D22" s="9">
        <v>2519538.88</v>
      </c>
    </row>
    <row r="23" spans="1:4" x14ac:dyDescent="0.3">
      <c r="A23" s="2" t="str">
        <f>"1.1.2.06.01- Adiantamento de Ferias"</f>
        <v>1.1.2.06.01- Adiantamento de Ferias</v>
      </c>
      <c r="B23" s="9">
        <v>1399979.51</v>
      </c>
      <c r="C23" s="9">
        <v>-348913.7</v>
      </c>
      <c r="D23" s="9">
        <v>1051065.81</v>
      </c>
    </row>
    <row r="24" spans="1:4" x14ac:dyDescent="0.3">
      <c r="A24" s="2" t="str">
        <f>"1.1.2.06.02- Adiantamento de 13. Salario"</f>
        <v>1.1.2.06.02- Adiantamento de 13. Salario</v>
      </c>
      <c r="B24" s="9">
        <v>962272.27</v>
      </c>
      <c r="C24" s="9">
        <v>326935.27</v>
      </c>
      <c r="D24" s="9">
        <v>1289207.54</v>
      </c>
    </row>
    <row r="25" spans="1:4" x14ac:dyDescent="0.3">
      <c r="A25" s="2" t="str">
        <f>"1.1.2.06.03- Adiant. de Salario/Parc. Ferias"</f>
        <v>1.1.2.06.03- Adiant. de Salario/Parc. Ferias</v>
      </c>
      <c r="B25" s="9">
        <v>253259.61</v>
      </c>
      <c r="C25" s="9">
        <v>-82186.8</v>
      </c>
      <c r="D25" s="9">
        <v>171072.81</v>
      </c>
    </row>
    <row r="26" spans="1:4" x14ac:dyDescent="0.3">
      <c r="A26" s="2" t="str">
        <f>"1.1.2.06.07- Adiantamento Pensao s/ Ferias"</f>
        <v>1.1.2.06.07- Adiantamento Pensao s/ Ferias</v>
      </c>
      <c r="B26" s="9">
        <v>4183.45</v>
      </c>
      <c r="C26" s="9">
        <v>4009.27</v>
      </c>
      <c r="D26" s="9">
        <v>8192.7199999999993</v>
      </c>
    </row>
    <row r="27" spans="1:4" x14ac:dyDescent="0.3">
      <c r="A27" s="2" t="str">
        <f>"1.1.2.08.00- ALMOXARIFADO"</f>
        <v>1.1.2.08.00- ALMOXARIFADO</v>
      </c>
      <c r="B27" s="9">
        <v>568466.56000000006</v>
      </c>
      <c r="C27" s="9">
        <v>-22732.69</v>
      </c>
      <c r="D27" s="9">
        <v>545733.87</v>
      </c>
    </row>
    <row r="28" spans="1:4" x14ac:dyDescent="0.3">
      <c r="A28" s="2" t="str">
        <f>"1.1.2.08.01- Material em Estoque"</f>
        <v>1.1.2.08.01- Material em Estoque</v>
      </c>
      <c r="B28" s="9">
        <v>568466.56000000006</v>
      </c>
      <c r="C28" s="9">
        <v>-22732.69</v>
      </c>
      <c r="D28" s="9">
        <v>545733.87</v>
      </c>
    </row>
    <row r="29" spans="1:4" x14ac:dyDescent="0.3">
      <c r="A29" s="2" t="str">
        <f>"1.1.2.10.00- IMPOSTOS E CONTRIB.A RECUPERAR"</f>
        <v>1.1.2.10.00- IMPOSTOS E CONTRIB.A RECUPERAR</v>
      </c>
      <c r="B29" s="9">
        <v>4915617.1900000004</v>
      </c>
      <c r="C29" s="9">
        <v>33476.199999999997</v>
      </c>
      <c r="D29" s="9">
        <v>4949093.3899999997</v>
      </c>
    </row>
    <row r="30" spans="1:4" x14ac:dyDescent="0.3">
      <c r="A30" s="2" t="str">
        <f>"1.1.2.10.01- IR s/Aplicacao Financeira"</f>
        <v>1.1.2.10.01- IR s/Aplicacao Financeira</v>
      </c>
      <c r="B30" s="9">
        <v>462460.79</v>
      </c>
      <c r="C30" s="9">
        <v>13108.37</v>
      </c>
      <c r="D30" s="9">
        <v>475569.16</v>
      </c>
    </row>
    <row r="31" spans="1:4" x14ac:dyDescent="0.3">
      <c r="A31" s="2" t="str">
        <f>"1.1.2.10.15- Cofins a Compensar"</f>
        <v>1.1.2.10.15- Cofins a Compensar</v>
      </c>
      <c r="B31" s="9">
        <v>3648297.16</v>
      </c>
      <c r="C31" s="9">
        <v>16485.05</v>
      </c>
      <c r="D31" s="9">
        <v>3664782.21</v>
      </c>
    </row>
    <row r="32" spans="1:4" x14ac:dyDescent="0.3">
      <c r="A32" s="2" t="str">
        <f>"1.1.2.10.16- PIS a Compensar"</f>
        <v>1.1.2.10.16- PIS a Compensar</v>
      </c>
      <c r="B32" s="9">
        <v>804859.24</v>
      </c>
      <c r="C32" s="9">
        <v>3882.78</v>
      </c>
      <c r="D32" s="9">
        <v>808742.02</v>
      </c>
    </row>
    <row r="33" spans="1:4" x14ac:dyDescent="0.3">
      <c r="A33" s="2" t="str">
        <f>"1.1.2.11.00- DESPESAS ANTECIPADAS"</f>
        <v>1.1.2.11.00- DESPESAS ANTECIPADAS</v>
      </c>
      <c r="B33" s="9">
        <v>9267.98</v>
      </c>
      <c r="C33" s="9">
        <v>-1945.11</v>
      </c>
      <c r="D33" s="9">
        <v>7322.87</v>
      </c>
    </row>
    <row r="34" spans="1:4" x14ac:dyDescent="0.3">
      <c r="A34" s="2" t="str">
        <f>"1.1.2.11.01- Premios de Seguros a Vencer"</f>
        <v>1.1.2.11.01- Premios de Seguros a Vencer</v>
      </c>
      <c r="B34" s="9">
        <v>9267.98</v>
      </c>
      <c r="C34" s="9">
        <v>-1945.11</v>
      </c>
      <c r="D34" s="9">
        <v>7322.87</v>
      </c>
    </row>
    <row r="35" spans="1:4" x14ac:dyDescent="0.3">
      <c r="A35" s="2" t="str">
        <f>"1.1.2.14.00- CONTAS TRANSITORIAS - GRUPO ATIVO"</f>
        <v>1.1.2.14.00- CONTAS TRANSITORIAS - GRUPO ATIVO</v>
      </c>
      <c r="B35" s="9">
        <v>-179779.14</v>
      </c>
      <c r="C35" s="9">
        <v>-363197.53</v>
      </c>
      <c r="D35" s="9">
        <v>-542976.67000000004</v>
      </c>
    </row>
    <row r="36" spans="1:4" x14ac:dyDescent="0.3">
      <c r="A36" s="2" t="str">
        <f>"1.1.2.14.07- Transitoria de Imposto"</f>
        <v>1.1.2.14.07- Transitoria de Imposto</v>
      </c>
      <c r="B36" s="9">
        <v>-179779.14</v>
      </c>
      <c r="C36" s="9">
        <v>-363197.53</v>
      </c>
      <c r="D36" s="9">
        <v>-542976.67000000004</v>
      </c>
    </row>
    <row r="37" spans="1:4" x14ac:dyDescent="0.3">
      <c r="A37" s="2" t="str">
        <f>"1.2.0.00.00- ATIVO NAO CIRCULANTE"</f>
        <v>1.2.0.00.00- ATIVO NAO CIRCULANTE</v>
      </c>
      <c r="B37" s="9">
        <v>34001365.170000002</v>
      </c>
      <c r="C37" s="9">
        <v>-3566.53</v>
      </c>
      <c r="D37" s="9">
        <v>33997798.640000001</v>
      </c>
    </row>
    <row r="38" spans="1:4" x14ac:dyDescent="0.3">
      <c r="A38" s="2" t="str">
        <f>"1.2.1.00.00- REALIZAVEL A LONGO PRAZO"</f>
        <v>1.2.1.00.00- REALIZAVEL A LONGO PRAZO</v>
      </c>
      <c r="B38" s="9">
        <v>32706961.960000001</v>
      </c>
      <c r="C38" s="9">
        <v>22417.200000000001</v>
      </c>
      <c r="D38" s="9">
        <v>32729379.16</v>
      </c>
    </row>
    <row r="39" spans="1:4" x14ac:dyDescent="0.3">
      <c r="A39" s="2" t="str">
        <f>"1.2.1.01.00- CREDITOS E VALORES A RECEBER"</f>
        <v>1.2.1.01.00- CREDITOS E VALORES A RECEBER</v>
      </c>
      <c r="B39" s="9">
        <v>32706961.960000001</v>
      </c>
      <c r="C39" s="9">
        <v>22417.200000000001</v>
      </c>
      <c r="D39" s="9">
        <v>32729379.16</v>
      </c>
    </row>
    <row r="40" spans="1:4" x14ac:dyDescent="0.3">
      <c r="A40" s="2" t="str">
        <f>"1.2.1.01.01- Depositos Judiciais"</f>
        <v>1.2.1.01.01- Depositos Judiciais</v>
      </c>
      <c r="B40" s="9">
        <v>647491.43000000005</v>
      </c>
      <c r="C40" s="9">
        <v>22417.200000000001</v>
      </c>
      <c r="D40" s="9">
        <v>669908.63</v>
      </c>
    </row>
    <row r="41" spans="1:4" x14ac:dyDescent="0.3">
      <c r="A41" s="2" t="str">
        <f>"1.2.1.01.04- Convenio Prefeitura Betim"</f>
        <v>1.2.1.01.04- Convenio Prefeitura Betim</v>
      </c>
      <c r="B41" s="9">
        <v>891.18</v>
      </c>
      <c r="C41" s="9">
        <v>0</v>
      </c>
      <c r="D41" s="9">
        <v>891.18</v>
      </c>
    </row>
    <row r="42" spans="1:4" x14ac:dyDescent="0.3">
      <c r="A42" s="2" t="str">
        <f>"1.2.1.01.05- Convenio IPSEMG"</f>
        <v>1.2.1.01.05- Convenio IPSEMG</v>
      </c>
      <c r="B42" s="9">
        <v>21163.53</v>
      </c>
      <c r="C42" s="9">
        <v>0</v>
      </c>
      <c r="D42" s="9">
        <v>21163.53</v>
      </c>
    </row>
    <row r="43" spans="1:4" x14ac:dyDescent="0.3">
      <c r="A43" s="2" t="str">
        <f>"1.2.1.01.06- Multas Transporte Coletivo"</f>
        <v>1.2.1.01.06- Multas Transporte Coletivo</v>
      </c>
      <c r="B43" s="9">
        <v>40046769.780000001</v>
      </c>
      <c r="C43" s="9">
        <v>0</v>
      </c>
      <c r="D43" s="9">
        <v>40046769.780000001</v>
      </c>
    </row>
    <row r="44" spans="1:4" x14ac:dyDescent="0.3">
      <c r="A44" s="2" t="str">
        <f>"1.2.1.01.07- (-) Provisao para Perdas"</f>
        <v>1.2.1.01.07- (-) Provisao para Perdas</v>
      </c>
      <c r="B44" s="9">
        <v>-8009353.96</v>
      </c>
      <c r="C44" s="9">
        <v>0</v>
      </c>
      <c r="D44" s="9">
        <v>-8009353.96</v>
      </c>
    </row>
    <row r="45" spans="1:4" x14ac:dyDescent="0.3">
      <c r="A45" s="2" t="str">
        <f>"1.3.1.00.00- INVESTIMENTOS"</f>
        <v>1.3.1.00.00- INVESTIMENTOS</v>
      </c>
      <c r="B45" s="9">
        <v>26152.19</v>
      </c>
      <c r="C45" s="9">
        <v>0</v>
      </c>
      <c r="D45" s="9">
        <v>26152.19</v>
      </c>
    </row>
    <row r="46" spans="1:4" x14ac:dyDescent="0.3">
      <c r="A46" s="2" t="str">
        <f>"1.3.1.01.00- OUTROS INVESTIMENTOS"</f>
        <v>1.3.1.01.00- OUTROS INVESTIMENTOS</v>
      </c>
      <c r="B46" s="9">
        <v>26152.19</v>
      </c>
      <c r="C46" s="9">
        <v>0</v>
      </c>
      <c r="D46" s="9">
        <v>26152.19</v>
      </c>
    </row>
    <row r="47" spans="1:4" x14ac:dyDescent="0.3">
      <c r="A47" s="2" t="str">
        <f>"1.3.1.01.01- Obras de Arte"</f>
        <v>1.3.1.01.01- Obras de Arte</v>
      </c>
      <c r="B47" s="9">
        <v>25200</v>
      </c>
      <c r="C47" s="9">
        <v>0</v>
      </c>
      <c r="D47" s="9">
        <v>25200</v>
      </c>
    </row>
    <row r="48" spans="1:4" x14ac:dyDescent="0.3">
      <c r="A48" s="2" t="str">
        <f>"1.3.1.01.02- Participações Societárias - PBH ATIVOS"</f>
        <v>1.3.1.01.02- Participações Societárias - PBH ATIVOS</v>
      </c>
      <c r="B48" s="9">
        <v>952.19</v>
      </c>
      <c r="C48" s="9">
        <v>0</v>
      </c>
      <c r="D48" s="9">
        <v>952.19</v>
      </c>
    </row>
    <row r="49" spans="1:4" x14ac:dyDescent="0.3">
      <c r="A49" s="2" t="str">
        <f>"1.3.2.00.00- IMOBILIZADO"</f>
        <v>1.3.2.00.00- IMOBILIZADO</v>
      </c>
      <c r="B49" s="9">
        <v>6895858.3499999996</v>
      </c>
      <c r="C49" s="9">
        <v>0</v>
      </c>
      <c r="D49" s="9">
        <v>6895858.3499999996</v>
      </c>
    </row>
    <row r="50" spans="1:4" x14ac:dyDescent="0.3">
      <c r="A50" s="2" t="str">
        <f>"1.3.2.01.01- Maquinas e equipamentos"</f>
        <v>1.3.2.01.01- Maquinas e equipamentos</v>
      </c>
      <c r="B50" s="9">
        <v>259352.63</v>
      </c>
      <c r="C50" s="9">
        <v>0</v>
      </c>
      <c r="D50" s="9">
        <v>259352.63</v>
      </c>
    </row>
    <row r="51" spans="1:4" x14ac:dyDescent="0.3">
      <c r="A51" s="2" t="str">
        <f>"1.3.2.02.01- Ferramentas"</f>
        <v>1.3.2.02.01- Ferramentas</v>
      </c>
      <c r="B51" s="9">
        <v>8159.81</v>
      </c>
      <c r="C51" s="9">
        <v>0</v>
      </c>
      <c r="D51" s="9">
        <v>8159.81</v>
      </c>
    </row>
    <row r="52" spans="1:4" x14ac:dyDescent="0.3">
      <c r="A52" s="2" t="str">
        <f>"1.3.2.03.01- Equipamentos de comunicacao"</f>
        <v>1.3.2.03.01- Equipamentos de comunicacao</v>
      </c>
      <c r="B52" s="9">
        <v>638718.06999999995</v>
      </c>
      <c r="C52" s="9">
        <v>0</v>
      </c>
      <c r="D52" s="9">
        <v>638718.06999999995</v>
      </c>
    </row>
    <row r="53" spans="1:4" x14ac:dyDescent="0.3">
      <c r="A53" s="2" t="str">
        <f>"1.3.2.04.01- Instalacoes"</f>
        <v>1.3.2.04.01- Instalacoes</v>
      </c>
      <c r="B53" s="9">
        <v>89886.56</v>
      </c>
      <c r="C53" s="9">
        <v>0</v>
      </c>
      <c r="D53" s="9">
        <v>89886.56</v>
      </c>
    </row>
    <row r="54" spans="1:4" x14ac:dyDescent="0.3">
      <c r="A54" s="2" t="str">
        <f>"1.3.2.06.01- Moveis e utensilios"</f>
        <v>1.3.2.06.01- Moveis e utensilios</v>
      </c>
      <c r="B54" s="9">
        <v>453302.85</v>
      </c>
      <c r="C54" s="9">
        <v>0</v>
      </c>
      <c r="D54" s="9">
        <v>453302.85</v>
      </c>
    </row>
    <row r="55" spans="1:4" x14ac:dyDescent="0.3">
      <c r="A55" s="2" t="str">
        <f>"1.3.2.08.01- Instalacoes administrativas"</f>
        <v>1.3.2.08.01- Instalacoes administrativas</v>
      </c>
      <c r="B55" s="9">
        <v>98491.4</v>
      </c>
      <c r="C55" s="9">
        <v>0</v>
      </c>
      <c r="D55" s="9">
        <v>98491.4</v>
      </c>
    </row>
    <row r="56" spans="1:4" x14ac:dyDescent="0.3">
      <c r="A56" s="2" t="str">
        <f>"1.3.2.09.01- Aparelhos/equipamentos diversos"</f>
        <v>1.3.2.09.01- Aparelhos/equipamentos diversos</v>
      </c>
      <c r="B56" s="9">
        <v>631083.07999999996</v>
      </c>
      <c r="C56" s="9">
        <v>0</v>
      </c>
      <c r="D56" s="9">
        <v>631083.07999999996</v>
      </c>
    </row>
    <row r="57" spans="1:4" x14ac:dyDescent="0.3">
      <c r="A57" s="2" t="str">
        <f>"1.3.2.10.01- Equip. p/ processamento de dados"</f>
        <v>1.3.2.10.01- Equip. p/ processamento de dados</v>
      </c>
      <c r="B57" s="9">
        <v>1494365.77</v>
      </c>
      <c r="C57" s="9">
        <v>0</v>
      </c>
      <c r="D57" s="9">
        <v>1494365.77</v>
      </c>
    </row>
    <row r="58" spans="1:4" x14ac:dyDescent="0.3">
      <c r="A58" s="2" t="str">
        <f>"1.3.2.12.01- Micros/impressoras e acessorios"</f>
        <v>1.3.2.12.01- Micros/impressoras e acessorios</v>
      </c>
      <c r="B58" s="9">
        <v>1450152.26</v>
      </c>
      <c r="C58" s="9">
        <v>0</v>
      </c>
      <c r="D58" s="9">
        <v>1450152.26</v>
      </c>
    </row>
    <row r="59" spans="1:4" x14ac:dyDescent="0.3">
      <c r="A59" s="2" t="str">
        <f>"1.3.2.13.01- Imobilizacao em imoveis de terceiros"</f>
        <v>1.3.2.13.01- Imobilizacao em imoveis de terceiros</v>
      </c>
      <c r="B59" s="9">
        <v>609961.46</v>
      </c>
      <c r="C59" s="9">
        <v>0</v>
      </c>
      <c r="D59" s="9">
        <v>609961.46</v>
      </c>
    </row>
    <row r="60" spans="1:4" x14ac:dyDescent="0.3">
      <c r="A60" s="2" t="str">
        <f>"1.3.2.14.01- Estacao Diamante"</f>
        <v>1.3.2.14.01- Estacao Diamante</v>
      </c>
      <c r="B60" s="9">
        <v>1162384.46</v>
      </c>
      <c r="C60" s="9">
        <v>0</v>
      </c>
      <c r="D60" s="9">
        <v>1162384.46</v>
      </c>
    </row>
    <row r="61" spans="1:4" x14ac:dyDescent="0.3">
      <c r="A61" s="2" t="str">
        <f>"1.3.3.00.00- INTANGIVEL"</f>
        <v>1.3.3.00.00- INTANGIVEL</v>
      </c>
      <c r="B61" s="9">
        <v>37558</v>
      </c>
      <c r="C61" s="9">
        <v>0</v>
      </c>
      <c r="D61" s="9">
        <v>37558</v>
      </c>
    </row>
    <row r="62" spans="1:4" x14ac:dyDescent="0.3">
      <c r="A62" s="2" t="str">
        <f>"1.3.3.03.00- MARCAS E PATENTES"</f>
        <v>1.3.3.03.00- MARCAS E PATENTES</v>
      </c>
      <c r="B62" s="9">
        <v>808</v>
      </c>
      <c r="C62" s="9">
        <v>0</v>
      </c>
      <c r="D62" s="9">
        <v>808</v>
      </c>
    </row>
    <row r="63" spans="1:4" x14ac:dyDescent="0.3">
      <c r="A63" s="2" t="str">
        <f>"1.3.3.03.01- Marcas e Patentes"</f>
        <v>1.3.3.03.01- Marcas e Patentes</v>
      </c>
      <c r="B63" s="9">
        <v>808</v>
      </c>
      <c r="C63" s="9">
        <v>0</v>
      </c>
      <c r="D63" s="9">
        <v>808</v>
      </c>
    </row>
    <row r="64" spans="1:4" x14ac:dyDescent="0.3">
      <c r="A64" s="2" t="str">
        <f>"1.3.3.04.01- Programas e Sistemas"</f>
        <v>1.3.3.04.01- Programas e Sistemas</v>
      </c>
      <c r="B64" s="9">
        <v>36750</v>
      </c>
      <c r="C64" s="9">
        <v>0</v>
      </c>
      <c r="D64" s="9">
        <v>36750</v>
      </c>
    </row>
    <row r="65" spans="1:4" x14ac:dyDescent="0.3">
      <c r="A65" s="2" t="str">
        <f>"1.3.5.00.00- ( - )DEPRECIACAO E AMORTIZACAO"</f>
        <v>1.3.5.00.00- ( - )DEPRECIACAO E AMORTIZACAO</v>
      </c>
      <c r="B65" s="9">
        <v>-5665165.3300000001</v>
      </c>
      <c r="C65" s="9">
        <v>-25983.73</v>
      </c>
      <c r="D65" s="9">
        <v>-5691149.0599999996</v>
      </c>
    </row>
    <row r="66" spans="1:4" x14ac:dyDescent="0.3">
      <c r="A66" s="2" t="str">
        <f>"1.3.5.01.00- ( - ) DEPRECIACAO E AMORTIZACAO"</f>
        <v>1.3.5.01.00- ( - ) DEPRECIACAO E AMORTIZACAO</v>
      </c>
      <c r="B66" s="9">
        <v>-5665165.3300000001</v>
      </c>
      <c r="C66" s="9">
        <v>-25983.73</v>
      </c>
      <c r="D66" s="9">
        <v>-5691149.0599999996</v>
      </c>
    </row>
    <row r="67" spans="1:4" x14ac:dyDescent="0.3">
      <c r="A67" s="2" t="str">
        <f>"1.3.5.01.01- ( - ) Moveis e Utensilios"</f>
        <v>1.3.5.01.01- ( - ) Moveis e Utensilios</v>
      </c>
      <c r="B67" s="9">
        <v>-430423.55</v>
      </c>
      <c r="C67" s="9">
        <v>-304.42</v>
      </c>
      <c r="D67" s="9">
        <v>-430727.97</v>
      </c>
    </row>
    <row r="68" spans="1:4" x14ac:dyDescent="0.3">
      <c r="A68" s="2" t="str">
        <f>"1.3.5.01.02- ( - ) Aparelhos/Equipamentos Diversos"</f>
        <v>1.3.5.01.02- ( - ) Aparelhos/Equipamentos Diversos</v>
      </c>
      <c r="B68" s="9">
        <v>-568627.82999999996</v>
      </c>
      <c r="C68" s="9">
        <v>-2229.7600000000002</v>
      </c>
      <c r="D68" s="9">
        <v>-570857.59</v>
      </c>
    </row>
    <row r="69" spans="1:4" x14ac:dyDescent="0.3">
      <c r="A69" s="2" t="str">
        <f>"1.3.5.01.03- ( - ) Instalacoes Administrativas"</f>
        <v>1.3.5.01.03- ( - ) Instalacoes Administrativas</v>
      </c>
      <c r="B69" s="9">
        <v>-98491.4</v>
      </c>
      <c r="C69" s="9">
        <v>0</v>
      </c>
      <c r="D69" s="9">
        <v>-98491.4</v>
      </c>
    </row>
    <row r="70" spans="1:4" x14ac:dyDescent="0.3">
      <c r="A70" s="2" t="str">
        <f>"1.3.5.01.05- ( - ) Impressoras e Micros"</f>
        <v>1.3.5.01.05- ( - ) Impressoras e Micros</v>
      </c>
      <c r="B70" s="9">
        <v>-2172516.16</v>
      </c>
      <c r="C70" s="9">
        <v>-12687.63</v>
      </c>
      <c r="D70" s="9">
        <v>-2185203.79</v>
      </c>
    </row>
    <row r="71" spans="1:4" x14ac:dyDescent="0.3">
      <c r="A71" s="2" t="str">
        <f>"1.3.5.01.06- ( - ) Maquinas e Equipamentos"</f>
        <v>1.3.5.01.06- ( - ) Maquinas e Equipamentos</v>
      </c>
      <c r="B71" s="9">
        <v>-230179.74</v>
      </c>
      <c r="C71" s="9">
        <v>-550.52</v>
      </c>
      <c r="D71" s="9">
        <v>-230730.26</v>
      </c>
    </row>
    <row r="72" spans="1:4" x14ac:dyDescent="0.3">
      <c r="A72" s="2" t="str">
        <f>"1.3.5.01.07- ( - ) Equipamentos de Comunicacao"</f>
        <v>1.3.5.01.07- ( - ) Equipamentos de Comunicacao</v>
      </c>
      <c r="B72" s="9">
        <v>-491319.13</v>
      </c>
      <c r="C72" s="9">
        <v>-7995.34</v>
      </c>
      <c r="D72" s="9">
        <v>-499314.47</v>
      </c>
    </row>
    <row r="73" spans="1:4" x14ac:dyDescent="0.3">
      <c r="A73" s="2" t="str">
        <f>"1.3.5.01.08- ( - ) Instalacoes Operacionais"</f>
        <v>1.3.5.01.08- ( - ) Instalacoes Operacionais</v>
      </c>
      <c r="B73" s="9">
        <v>-85113.42</v>
      </c>
      <c r="C73" s="9">
        <v>-182.86</v>
      </c>
      <c r="D73" s="9">
        <v>-85296.28</v>
      </c>
    </row>
    <row r="74" spans="1:4" x14ac:dyDescent="0.3">
      <c r="A74" s="2" t="str">
        <f>"1.3.5.01.09- ( - ) Programas (Softwares)"</f>
        <v>1.3.5.01.09- ( - ) Programas (Softwares)</v>
      </c>
      <c r="B74" s="9">
        <v>-36750</v>
      </c>
      <c r="C74" s="9">
        <v>0</v>
      </c>
      <c r="D74" s="9">
        <v>-36750</v>
      </c>
    </row>
    <row r="75" spans="1:4" x14ac:dyDescent="0.3">
      <c r="A75" s="2" t="str">
        <f>"1.3.5.01.14- ( - ) Ferramentas"</f>
        <v>1.3.5.01.14- ( - ) Ferramentas</v>
      </c>
      <c r="B75" s="9">
        <v>-8159.81</v>
      </c>
      <c r="C75" s="9">
        <v>0</v>
      </c>
      <c r="D75" s="9">
        <v>-8159.81</v>
      </c>
    </row>
    <row r="76" spans="1:4" x14ac:dyDescent="0.3">
      <c r="A76" s="2" t="str">
        <f>"1.3.5.01.15- ( - ) Imobilizacoes em Imov. Terceiros"</f>
        <v>1.3.5.01.15- ( - ) Imobilizacoes em Imov. Terceiros</v>
      </c>
      <c r="B76" s="9">
        <v>-1543584.29</v>
      </c>
      <c r="C76" s="9">
        <v>-2033.2</v>
      </c>
      <c r="D76" s="9">
        <v>-1545617.49</v>
      </c>
    </row>
    <row r="77" spans="1:4" x14ac:dyDescent="0.3">
      <c r="A77" s="2" t="str">
        <f>""</f>
        <v/>
      </c>
      <c r="B77" s="3" t="str">
        <f>""</f>
        <v/>
      </c>
      <c r="C77" s="3" t="str">
        <f>""</f>
        <v/>
      </c>
      <c r="D77" s="3" t="str">
        <f>""</f>
        <v/>
      </c>
    </row>
    <row r="78" spans="1:4" x14ac:dyDescent="0.3">
      <c r="A78" s="2" t="str">
        <f>"PASSIVO"</f>
        <v>PASSIVO</v>
      </c>
      <c r="B78" s="3" t="str">
        <f>""</f>
        <v/>
      </c>
      <c r="C78" s="3" t="str">
        <f>""</f>
        <v/>
      </c>
      <c r="D78" s="3" t="str">
        <f>""</f>
        <v/>
      </c>
    </row>
    <row r="79" spans="1:4" x14ac:dyDescent="0.3">
      <c r="A79" s="2" t="str">
        <f>"2.0.0.00.00- PASSIVO"</f>
        <v>2.0.0.00.00- PASSIVO</v>
      </c>
      <c r="B79" s="9">
        <v>57494553.140000001</v>
      </c>
      <c r="C79" s="9">
        <v>886723.98</v>
      </c>
      <c r="D79" s="9">
        <v>58381277.119999997</v>
      </c>
    </row>
    <row r="80" spans="1:4" x14ac:dyDescent="0.3">
      <c r="A80" s="2" t="str">
        <f>"2.1.0.00.00- PASSIVO CIRCULANTE"</f>
        <v>2.1.0.00.00- PASSIVO CIRCULANTE</v>
      </c>
      <c r="B80" s="9">
        <v>34833007.140000001</v>
      </c>
      <c r="C80" s="9">
        <v>1271152.71</v>
      </c>
      <c r="D80" s="9">
        <v>36104159.850000001</v>
      </c>
    </row>
    <row r="81" spans="1:4" x14ac:dyDescent="0.3">
      <c r="A81" s="2" t="str">
        <f>"2.1.1.00.00- OBRIGACOES COM PESSOAL"</f>
        <v>2.1.1.00.00- OBRIGACOES COM PESSOAL</v>
      </c>
      <c r="B81" s="9">
        <v>17771851.149999999</v>
      </c>
      <c r="C81" s="9">
        <v>1598705.47</v>
      </c>
      <c r="D81" s="9">
        <v>19370556.620000001</v>
      </c>
    </row>
    <row r="82" spans="1:4" x14ac:dyDescent="0.3">
      <c r="A82" s="2" t="str">
        <f>"2.1.1.01.00- SALARIOS A PAGAR"</f>
        <v>2.1.1.01.00- SALARIOS A PAGAR</v>
      </c>
      <c r="B82" s="9">
        <v>17771851.149999999</v>
      </c>
      <c r="C82" s="9">
        <v>1598705.47</v>
      </c>
      <c r="D82" s="9">
        <v>19370556.620000001</v>
      </c>
    </row>
    <row r="83" spans="1:4" x14ac:dyDescent="0.3">
      <c r="A83" s="2" t="str">
        <f>"2.1.1.01.01- Salarios a Pagar"</f>
        <v>2.1.1.01.01- Salarios a Pagar</v>
      </c>
      <c r="B83" s="9">
        <v>5121830.17</v>
      </c>
      <c r="C83" s="9">
        <v>1062567.53</v>
      </c>
      <c r="D83" s="9">
        <v>6184397.7000000002</v>
      </c>
    </row>
    <row r="84" spans="1:4" x14ac:dyDescent="0.3">
      <c r="A84" s="2" t="str">
        <f>"2.1.1.01.02- Provisão 13º Salário"</f>
        <v>2.1.1.01.02- Provisão 13º Salário</v>
      </c>
      <c r="B84" s="9">
        <v>1318948.21</v>
      </c>
      <c r="C84" s="9">
        <v>787289.44</v>
      </c>
      <c r="D84" s="9">
        <v>2106237.65</v>
      </c>
    </row>
    <row r="85" spans="1:4" x14ac:dyDescent="0.3">
      <c r="A85" s="2" t="str">
        <f>"2.1.1.01.03- Ferias a pagar"</f>
        <v>2.1.1.01.03- Ferias a pagar</v>
      </c>
      <c r="B85" s="9">
        <v>824278.14</v>
      </c>
      <c r="C85" s="9">
        <v>-643481.59999999998</v>
      </c>
      <c r="D85" s="9">
        <v>180796.54</v>
      </c>
    </row>
    <row r="86" spans="1:4" x14ac:dyDescent="0.3">
      <c r="A86" s="2" t="str">
        <f>"2.1.1.01.09- Provisao de Ferias"</f>
        <v>2.1.1.01.09- Provisao de Ferias</v>
      </c>
      <c r="B86" s="9">
        <v>10423155.43</v>
      </c>
      <c r="C86" s="9">
        <v>379043.1</v>
      </c>
      <c r="D86" s="9">
        <v>10802198.529999999</v>
      </c>
    </row>
    <row r="87" spans="1:4" x14ac:dyDescent="0.3">
      <c r="A87" s="2" t="str">
        <f>"2.1.1.01.12- Pensão Judicial"</f>
        <v>2.1.1.01.12- Pensão Judicial</v>
      </c>
      <c r="B87" s="9">
        <v>83639.199999999997</v>
      </c>
      <c r="C87" s="9">
        <v>13287</v>
      </c>
      <c r="D87" s="9">
        <v>96926.2</v>
      </c>
    </row>
    <row r="88" spans="1:4" x14ac:dyDescent="0.3">
      <c r="A88" s="2" t="str">
        <f>"2.1.2.00.00- OBRIGACOES SOCIAIS A CURTO PRAZO"</f>
        <v>2.1.2.00.00- OBRIGACOES SOCIAIS A CURTO PRAZO</v>
      </c>
      <c r="B88" s="9">
        <v>8525638.0500000007</v>
      </c>
      <c r="C88" s="9">
        <v>981083.64</v>
      </c>
      <c r="D88" s="9">
        <v>9506721.6899999995</v>
      </c>
    </row>
    <row r="89" spans="1:4" x14ac:dyDescent="0.3">
      <c r="A89" s="2" t="str">
        <f>"2.1.2.01.00- OBRIGACOES SOCIAIS A RECOLHER"</f>
        <v>2.1.2.01.00- OBRIGACOES SOCIAIS A RECOLHER</v>
      </c>
      <c r="B89" s="9">
        <v>8525638.0500000007</v>
      </c>
      <c r="C89" s="9">
        <v>981083.64</v>
      </c>
      <c r="D89" s="9">
        <v>9506721.6899999995</v>
      </c>
    </row>
    <row r="90" spans="1:4" x14ac:dyDescent="0.3">
      <c r="A90" s="2" t="str">
        <f>"2.1.2.01.01- INSS a recolher s/Folha Pagto"</f>
        <v>2.1.2.01.01- INSS a recolher s/Folha Pagto</v>
      </c>
      <c r="B90" s="9">
        <v>3012358.59</v>
      </c>
      <c r="C90" s="9">
        <v>549554.80000000005</v>
      </c>
      <c r="D90" s="9">
        <v>3561913.39</v>
      </c>
    </row>
    <row r="91" spans="1:4" x14ac:dyDescent="0.3">
      <c r="A91" s="2" t="str">
        <f>"2.1.2.01.02- FGTS a recolher s/Folha Pagto"</f>
        <v>2.1.2.01.02- FGTS a recolher s/Folha Pagto</v>
      </c>
      <c r="B91" s="9">
        <v>659512.23</v>
      </c>
      <c r="C91" s="9">
        <v>157600.06</v>
      </c>
      <c r="D91" s="9">
        <v>817112.29</v>
      </c>
    </row>
    <row r="92" spans="1:4" x14ac:dyDescent="0.3">
      <c r="A92" s="2" t="str">
        <f>"2.1.2.01.05- Contribuicao Sindical"</f>
        <v>2.1.2.01.05- Contribuicao Sindical</v>
      </c>
      <c r="B92" s="9">
        <v>9175.85</v>
      </c>
      <c r="C92" s="9">
        <v>52.49</v>
      </c>
      <c r="D92" s="9">
        <v>9228.34</v>
      </c>
    </row>
    <row r="93" spans="1:4" x14ac:dyDescent="0.3">
      <c r="A93" s="2" t="str">
        <f>"2.1.2.01.06- INSS s/Provisao de Ferias"</f>
        <v>2.1.2.01.06- INSS s/Provisao de Ferias</v>
      </c>
      <c r="B93" s="9">
        <v>3033340.46</v>
      </c>
      <c r="C93" s="9">
        <v>107646.63</v>
      </c>
      <c r="D93" s="9">
        <v>3140987.09</v>
      </c>
    </row>
    <row r="94" spans="1:4" x14ac:dyDescent="0.3">
      <c r="A94" s="2" t="str">
        <f>"2.1.2.01.09- INSS a Recolher s/Autonomos"</f>
        <v>2.1.2.01.09- INSS a Recolher s/Autonomos</v>
      </c>
      <c r="B94" s="9">
        <v>5376.3</v>
      </c>
      <c r="C94" s="9">
        <v>-531.47</v>
      </c>
      <c r="D94" s="9">
        <v>4844.83</v>
      </c>
    </row>
    <row r="95" spans="1:4" x14ac:dyDescent="0.3">
      <c r="A95" s="2" t="str">
        <f>"2.1.2.01.10- INSS s/Provisao de 13.Salario"</f>
        <v>2.1.2.01.10- INSS s/Provisao de 13.Salario</v>
      </c>
      <c r="B95" s="9">
        <v>385856.52</v>
      </c>
      <c r="C95" s="9">
        <v>230589.09</v>
      </c>
      <c r="D95" s="9">
        <v>616445.61</v>
      </c>
    </row>
    <row r="96" spans="1:4" x14ac:dyDescent="0.3">
      <c r="A96" s="2" t="str">
        <f>"2.1.2.01.11- FGTS s/Provisao de 13.Salario"</f>
        <v>2.1.2.01.11- FGTS s/Provisao de 13.Salario</v>
      </c>
      <c r="B96" s="9">
        <v>77108.19</v>
      </c>
      <c r="C96" s="9">
        <v>30857.19</v>
      </c>
      <c r="D96" s="9">
        <v>107965.38</v>
      </c>
    </row>
    <row r="97" spans="1:4" x14ac:dyDescent="0.3">
      <c r="A97" s="2" t="str">
        <f>"2.1.2.01.12- FGTS s/Provisao de Ferias"</f>
        <v>2.1.2.01.12- FGTS s/Provisao de Ferias</v>
      </c>
      <c r="B97" s="9">
        <v>829376.13</v>
      </c>
      <c r="C97" s="9">
        <v>29491.94</v>
      </c>
      <c r="D97" s="9">
        <v>858868.07</v>
      </c>
    </row>
    <row r="98" spans="1:4" x14ac:dyDescent="0.3">
      <c r="A98" s="2" t="str">
        <f>"2.1.2.01.15- Crediserv-BH"</f>
        <v>2.1.2.01.15- Crediserv-BH</v>
      </c>
      <c r="B98" s="9">
        <v>24013.27</v>
      </c>
      <c r="C98" s="9">
        <v>80</v>
      </c>
      <c r="D98" s="9">
        <v>24093.27</v>
      </c>
    </row>
    <row r="99" spans="1:4" x14ac:dyDescent="0.3">
      <c r="A99" s="2" t="str">
        <f>"2.1.2.01.16- INSS Fonte a Recolher - PJ"</f>
        <v>2.1.2.01.16- INSS Fonte a Recolher - PJ</v>
      </c>
      <c r="B99" s="9">
        <v>486979.56</v>
      </c>
      <c r="C99" s="9">
        <v>-123554.14</v>
      </c>
      <c r="D99" s="9">
        <v>363425.42</v>
      </c>
    </row>
    <row r="100" spans="1:4" x14ac:dyDescent="0.3">
      <c r="A100" s="2" t="str">
        <f>"2.1.2.01.18- INSS Fonte a Recolher - P F"</f>
        <v>2.1.2.01.18- INSS Fonte a Recolher - P F</v>
      </c>
      <c r="B100" s="9">
        <v>2540.9499999999998</v>
      </c>
      <c r="C100" s="9">
        <v>-702.95</v>
      </c>
      <c r="D100" s="9">
        <v>1838</v>
      </c>
    </row>
    <row r="101" spans="1:4" x14ac:dyDescent="0.3">
      <c r="A101" s="2" t="str">
        <f>"2.1.3.00.00- OBRIGACOES FISCAIS A CURTO PRAZO"</f>
        <v>2.1.3.00.00- OBRIGACOES FISCAIS A CURTO PRAZO</v>
      </c>
      <c r="B101" s="9">
        <v>1615259.68</v>
      </c>
      <c r="C101" s="9">
        <v>324657.58</v>
      </c>
      <c r="D101" s="9">
        <v>1939917.26</v>
      </c>
    </row>
    <row r="102" spans="1:4" x14ac:dyDescent="0.3">
      <c r="A102" s="2" t="str">
        <f>"2.1.3.01.00- IMPOSTOS E TAXAS A RECOLHER"</f>
        <v>2.1.3.01.00- IMPOSTOS E TAXAS A RECOLHER</v>
      </c>
      <c r="B102" s="9">
        <v>1615259.68</v>
      </c>
      <c r="C102" s="9">
        <v>324657.58</v>
      </c>
      <c r="D102" s="9">
        <v>1939917.26</v>
      </c>
    </row>
    <row r="103" spans="1:4" x14ac:dyDescent="0.3">
      <c r="A103" s="2" t="str">
        <f>"2.1.3.01.01- IRRF Fonte Folha Pagto"</f>
        <v>2.1.3.01.01- IRRF Fonte Folha Pagto</v>
      </c>
      <c r="B103" s="9">
        <v>1083773.92</v>
      </c>
      <c r="C103" s="9">
        <v>230131.21</v>
      </c>
      <c r="D103" s="9">
        <v>1313905.1299999999</v>
      </c>
    </row>
    <row r="104" spans="1:4" x14ac:dyDescent="0.3">
      <c r="A104" s="2" t="str">
        <f>"2.1.3.01.03- IRRF Fonte - Pessoa  Juridica e Física"</f>
        <v>2.1.3.01.03- IRRF Fonte - Pessoa  Juridica e Física</v>
      </c>
      <c r="B104" s="9">
        <v>57565.97</v>
      </c>
      <c r="C104" s="9">
        <v>-13732.49</v>
      </c>
      <c r="D104" s="9">
        <v>43833.48</v>
      </c>
    </row>
    <row r="105" spans="1:4" x14ac:dyDescent="0.3">
      <c r="A105" s="2" t="str">
        <f>"2.1.3.01.09- ISS Fonte a Recolher P.Juridica"</f>
        <v>2.1.3.01.09- ISS Fonte a Recolher P.Juridica</v>
      </c>
      <c r="B105" s="9">
        <v>99091.86</v>
      </c>
      <c r="C105" s="9">
        <v>37501.15</v>
      </c>
      <c r="D105" s="9">
        <v>136593.01</v>
      </c>
    </row>
    <row r="106" spans="1:4" x14ac:dyDescent="0.3">
      <c r="A106" s="2" t="str">
        <f>"2.1.3.01.12- CSLL-COFINS-PIS - FONTE"</f>
        <v>2.1.3.01.12- CSLL-COFINS-PIS - FONTE</v>
      </c>
      <c r="B106" s="9">
        <v>374827.93</v>
      </c>
      <c r="C106" s="9">
        <v>70757.710000000006</v>
      </c>
      <c r="D106" s="9">
        <v>445585.64</v>
      </c>
    </row>
    <row r="107" spans="1:4" x14ac:dyDescent="0.3">
      <c r="A107" s="2" t="str">
        <f>"2.1.4.00.00- OUTRAS OBRIGACOES A CURTO PRAZO"</f>
        <v>2.1.4.00.00- OUTRAS OBRIGACOES A CURTO PRAZO</v>
      </c>
      <c r="B107" s="9">
        <v>6920258.2599999998</v>
      </c>
      <c r="C107" s="9">
        <v>-1633293.98</v>
      </c>
      <c r="D107" s="9">
        <v>5286964.28</v>
      </c>
    </row>
    <row r="108" spans="1:4" x14ac:dyDescent="0.3">
      <c r="A108" s="2" t="str">
        <f>"2.1.4.01.00- FORNECEDORES"</f>
        <v>2.1.4.01.00- FORNECEDORES</v>
      </c>
      <c r="B108" s="9">
        <v>5320779.07</v>
      </c>
      <c r="C108" s="9">
        <v>-1397462.68</v>
      </c>
      <c r="D108" s="9">
        <v>3923316.39</v>
      </c>
    </row>
    <row r="109" spans="1:4" x14ac:dyDescent="0.3">
      <c r="A109" s="2" t="str">
        <f>"2.1.4.01.99- Fornecedores"</f>
        <v>2.1.4.01.99- Fornecedores</v>
      </c>
      <c r="B109" s="9">
        <v>5320779.07</v>
      </c>
      <c r="C109" s="9">
        <v>-1397462.68</v>
      </c>
      <c r="D109" s="9">
        <v>3923316.39</v>
      </c>
    </row>
    <row r="110" spans="1:4" x14ac:dyDescent="0.3">
      <c r="A110" s="2" t="str">
        <f>"2.1.4.02.00- CONTAS A PAGAR"</f>
        <v>2.1.4.02.00- CONTAS A PAGAR</v>
      </c>
      <c r="B110" s="9">
        <v>647193.22</v>
      </c>
      <c r="C110" s="9">
        <v>-235831.3</v>
      </c>
      <c r="D110" s="9">
        <v>411361.92</v>
      </c>
    </row>
    <row r="111" spans="1:4" x14ac:dyDescent="0.3">
      <c r="A111" s="2" t="str">
        <f>"2.1.4.02.01- Emprestimo Consignado - Bradesco"</f>
        <v>2.1.4.02.01- Emprestimo Consignado - Bradesco</v>
      </c>
      <c r="B111" s="9">
        <v>238629.62</v>
      </c>
      <c r="C111" s="9">
        <v>-4083.9</v>
      </c>
      <c r="D111" s="9">
        <v>234545.72</v>
      </c>
    </row>
    <row r="112" spans="1:4" x14ac:dyDescent="0.3">
      <c r="A112" s="2" t="str">
        <f>"2.1.4.02.03- Emprestimo Consignado - CEF"</f>
        <v>2.1.4.02.03- Emprestimo Consignado - CEF</v>
      </c>
      <c r="B112" s="9">
        <v>52045.52</v>
      </c>
      <c r="C112" s="9">
        <v>1492.38</v>
      </c>
      <c r="D112" s="9">
        <v>53537.9</v>
      </c>
    </row>
    <row r="113" spans="1:4" x14ac:dyDescent="0.3">
      <c r="A113" s="2" t="str">
        <f>"2.1.4.02.04- Emprestimo Consignado - B.Brasil"</f>
        <v>2.1.4.02.04- Emprestimo Consignado - B.Brasil</v>
      </c>
      <c r="B113" s="9">
        <v>82150.759999999995</v>
      </c>
      <c r="C113" s="9">
        <v>1879.44</v>
      </c>
      <c r="D113" s="9">
        <v>84030.2</v>
      </c>
    </row>
    <row r="114" spans="1:4" x14ac:dyDescent="0.3">
      <c r="A114" s="2" t="str">
        <f>"2.1.4.02.05- Emprestimo Consignado-Banco Alfa"</f>
        <v>2.1.4.02.05- Emprestimo Consignado-Banco Alfa</v>
      </c>
      <c r="B114" s="9">
        <v>8335.8700000000008</v>
      </c>
      <c r="C114" s="9">
        <v>0</v>
      </c>
      <c r="D114" s="9">
        <v>8335.8700000000008</v>
      </c>
    </row>
    <row r="115" spans="1:4" x14ac:dyDescent="0.3">
      <c r="A115" s="2" t="str">
        <f>"2.1.4.02.99- Contas a Pagar"</f>
        <v>2.1.4.02.99- Contas a Pagar</v>
      </c>
      <c r="B115" s="9">
        <v>266031.45</v>
      </c>
      <c r="C115" s="9">
        <v>-235119.22</v>
      </c>
      <c r="D115" s="9">
        <v>30912.23</v>
      </c>
    </row>
    <row r="116" spans="1:4" x14ac:dyDescent="0.3">
      <c r="A116" s="2" t="str">
        <f>"2.1.4.04.00- CAUCAO DE TERCEIROS/LEILAO"</f>
        <v>2.1.4.04.00- CAUCAO DE TERCEIROS/LEILAO</v>
      </c>
      <c r="B116" s="9">
        <v>952285.97</v>
      </c>
      <c r="C116" s="9">
        <v>0</v>
      </c>
      <c r="D116" s="9">
        <v>952285.97</v>
      </c>
    </row>
    <row r="117" spans="1:4" x14ac:dyDescent="0.3">
      <c r="A117" s="2" t="str">
        <f>"2.1.4.04.98- Leilões"</f>
        <v>2.1.4.04.98- Leilões</v>
      </c>
      <c r="B117" s="9">
        <v>857604.91</v>
      </c>
      <c r="C117" s="9">
        <v>0</v>
      </c>
      <c r="D117" s="9">
        <v>857604.91</v>
      </c>
    </row>
    <row r="118" spans="1:4" x14ac:dyDescent="0.3">
      <c r="A118" s="2" t="str">
        <f>"2.1.4.04.99- Caucao de Terceiros"</f>
        <v>2.1.4.04.99- Caucao de Terceiros</v>
      </c>
      <c r="B118" s="9">
        <v>94681.06</v>
      </c>
      <c r="C118" s="9">
        <v>0</v>
      </c>
      <c r="D118" s="9">
        <v>94681.06</v>
      </c>
    </row>
    <row r="119" spans="1:4" x14ac:dyDescent="0.3">
      <c r="A119" s="2" t="str">
        <f>"2.2.0.00.00- PASSIVO NAO CIRCULANTE"</f>
        <v>2.2.0.00.00- PASSIVO NAO CIRCULANTE</v>
      </c>
      <c r="B119" s="9">
        <v>155128641.69</v>
      </c>
      <c r="C119" s="9">
        <v>0</v>
      </c>
      <c r="D119" s="9">
        <v>155128641.69</v>
      </c>
    </row>
    <row r="120" spans="1:4" x14ac:dyDescent="0.3">
      <c r="A120" s="2" t="str">
        <f>"2.2.4.00.00- OUTRAS OBRIGACOES A LONGO PRAZO"</f>
        <v>2.2.4.00.00- OUTRAS OBRIGACOES A LONGO PRAZO</v>
      </c>
      <c r="B120" s="9">
        <v>155128641.69</v>
      </c>
      <c r="C120" s="9">
        <v>0</v>
      </c>
      <c r="D120" s="9">
        <v>155128641.69</v>
      </c>
    </row>
    <row r="121" spans="1:4" x14ac:dyDescent="0.3">
      <c r="A121" s="2" t="str">
        <f>"2.2.4.01.00- CREDORES DIVERSOS"</f>
        <v>2.2.4.01.00- CREDORES DIVERSOS</v>
      </c>
      <c r="B121" s="9">
        <v>14683306</v>
      </c>
      <c r="C121" s="9">
        <v>0</v>
      </c>
      <c r="D121" s="9">
        <v>14683306</v>
      </c>
    </row>
    <row r="122" spans="1:4" x14ac:dyDescent="0.3">
      <c r="A122" s="2" t="str">
        <f>"2.2.4.01.02- Outros Credores Diversos"</f>
        <v>2.2.4.01.02- Outros Credores Diversos</v>
      </c>
      <c r="B122" s="9">
        <v>1446994.26</v>
      </c>
      <c r="C122" s="9">
        <v>0</v>
      </c>
      <c r="D122" s="9">
        <v>1446994.26</v>
      </c>
    </row>
    <row r="123" spans="1:4" x14ac:dyDescent="0.3">
      <c r="A123" s="2" t="str">
        <f>"2.2.4.01.04- Provisão para Contingências Fiscais"</f>
        <v>2.2.4.01.04- Provisão para Contingências Fiscais</v>
      </c>
      <c r="B123" s="9">
        <v>12294456.800000001</v>
      </c>
      <c r="C123" s="9">
        <v>0</v>
      </c>
      <c r="D123" s="9">
        <v>12294456.800000001</v>
      </c>
    </row>
    <row r="124" spans="1:4" x14ac:dyDescent="0.3">
      <c r="A124" s="2" t="str">
        <f>"2.2.4.01.05- INSS Segurados"</f>
        <v>2.2.4.01.05- INSS Segurados</v>
      </c>
      <c r="B124" s="9">
        <v>941854.94</v>
      </c>
      <c r="C124" s="9">
        <v>0</v>
      </c>
      <c r="D124" s="9">
        <v>941854.94</v>
      </c>
    </row>
    <row r="125" spans="1:4" x14ac:dyDescent="0.3">
      <c r="A125" s="2" t="str">
        <f>"2.2.4.04.00- ACOES JUDICIAIS E TRABALHISTAS"</f>
        <v>2.2.4.04.00- ACOES JUDICIAIS E TRABALHISTAS</v>
      </c>
      <c r="B125" s="9">
        <v>140445335.69</v>
      </c>
      <c r="C125" s="9">
        <v>0</v>
      </c>
      <c r="D125" s="9">
        <v>140445335.69</v>
      </c>
    </row>
    <row r="126" spans="1:4" x14ac:dyDescent="0.3">
      <c r="A126" s="2" t="str">
        <f>"2.2.4.04.01- Acoes judiciais"</f>
        <v>2.2.4.04.01- Acoes judiciais</v>
      </c>
      <c r="B126" s="9">
        <v>59595973.630000003</v>
      </c>
      <c r="C126" s="9">
        <v>0</v>
      </c>
      <c r="D126" s="9">
        <v>59595973.630000003</v>
      </c>
    </row>
    <row r="127" spans="1:4" x14ac:dyDescent="0.3">
      <c r="A127" s="2" t="str">
        <f>"2.2.4.04.02- Acoes trabalhistas"</f>
        <v>2.2.4.04.02- Acoes trabalhistas</v>
      </c>
      <c r="B127" s="9">
        <v>80849362.060000002</v>
      </c>
      <c r="C127" s="9">
        <v>0</v>
      </c>
      <c r="D127" s="9">
        <v>80849362.060000002</v>
      </c>
    </row>
    <row r="128" spans="1:4" x14ac:dyDescent="0.3">
      <c r="A128" s="2" t="str">
        <f>"2.4.0.00.00- PATRIMONIO LIQUIDO"</f>
        <v>2.4.0.00.00- PATRIMONIO LIQUIDO</v>
      </c>
      <c r="B128" s="9">
        <v>-132467095.69</v>
      </c>
      <c r="C128" s="9">
        <v>-384428.73</v>
      </c>
      <c r="D128" s="9">
        <v>-132851524.42</v>
      </c>
    </row>
    <row r="129" spans="1:4" x14ac:dyDescent="0.3">
      <c r="A129" s="2" t="str">
        <f>"2.4.1.00.00- CAPITAL SOCIAL"</f>
        <v>2.4.1.00.00- CAPITAL SOCIAL</v>
      </c>
      <c r="B129" s="9">
        <v>67418193.159999996</v>
      </c>
      <c r="C129" s="9">
        <v>0</v>
      </c>
      <c r="D129" s="9">
        <v>67418193.159999996</v>
      </c>
    </row>
    <row r="130" spans="1:4" x14ac:dyDescent="0.3">
      <c r="A130" s="2" t="str">
        <f>"2.4.1.02.00- CAPITAL REALIZADO"</f>
        <v>2.4.1.02.00- CAPITAL REALIZADO</v>
      </c>
      <c r="B130" s="9">
        <v>67418193.159999996</v>
      </c>
      <c r="C130" s="9">
        <v>0</v>
      </c>
      <c r="D130" s="9">
        <v>67418193.159999996</v>
      </c>
    </row>
    <row r="131" spans="1:4" x14ac:dyDescent="0.3">
      <c r="A131" s="2" t="str">
        <f>"2.4.1.02.01- Capital Subscrito"</f>
        <v>2.4.1.02.01- Capital Subscrito</v>
      </c>
      <c r="B131" s="9">
        <v>75000000</v>
      </c>
      <c r="C131" s="9">
        <v>0</v>
      </c>
      <c r="D131" s="9">
        <v>75000000</v>
      </c>
    </row>
    <row r="132" spans="1:4" x14ac:dyDescent="0.3">
      <c r="A132" s="2" t="str">
        <f>"2.4.1.02.04- Capital a Realizar"</f>
        <v>2.4.1.02.04- Capital a Realizar</v>
      </c>
      <c r="B132" s="9">
        <v>-7581806.8399999999</v>
      </c>
      <c r="C132" s="9">
        <v>0</v>
      </c>
      <c r="D132" s="9">
        <v>-7581806.8399999999</v>
      </c>
    </row>
    <row r="133" spans="1:4" x14ac:dyDescent="0.3">
      <c r="A133" s="2" t="str">
        <f>"2.4.3.00.00- RESULTADOS ACUMULADOS"</f>
        <v>2.4.3.00.00- RESULTADOS ACUMULADOS</v>
      </c>
      <c r="B133" s="9">
        <v>-199885288.84999999</v>
      </c>
      <c r="C133" s="9">
        <v>-384428.73</v>
      </c>
      <c r="D133" s="9">
        <v>-200269717.58000001</v>
      </c>
    </row>
    <row r="134" spans="1:4" x14ac:dyDescent="0.3">
      <c r="A134" s="2" t="str">
        <f>"2.4.3.01.00- LUCROS/PREJUIZOS ACUMULADOS"</f>
        <v>2.4.3.01.00- LUCROS/PREJUIZOS ACUMULADOS</v>
      </c>
      <c r="B134" s="9">
        <v>-199885288.84999999</v>
      </c>
      <c r="C134" s="9">
        <v>-384428.73</v>
      </c>
      <c r="D134" s="9">
        <v>-200269717.58000001</v>
      </c>
    </row>
    <row r="135" spans="1:4" x14ac:dyDescent="0.3">
      <c r="A135" s="2" t="str">
        <f>"2.4.3.01.01- Resultados de Exerc. Anteriores"</f>
        <v>2.4.3.01.01- Resultados de Exerc. Anteriores</v>
      </c>
      <c r="B135" s="9">
        <v>-198789507.34</v>
      </c>
      <c r="C135" s="9">
        <v>0</v>
      </c>
      <c r="D135" s="9">
        <v>-198789507.34</v>
      </c>
    </row>
    <row r="136" spans="1:4" x14ac:dyDescent="0.3">
      <c r="A136" s="2" t="str">
        <f>"2.4.3.01.02- Resultado deste Exercicio"</f>
        <v>2.4.3.01.02- Resultado deste Exercicio</v>
      </c>
      <c r="B136" s="9">
        <v>-1095781.51</v>
      </c>
      <c r="C136" s="9">
        <v>-384428.73</v>
      </c>
      <c r="D136" s="9">
        <v>-1480210.24</v>
      </c>
    </row>
    <row r="137" spans="1:4" x14ac:dyDescent="0.3">
      <c r="A137" s="2" t="str">
        <f>""</f>
        <v/>
      </c>
      <c r="B137" s="3" t="str">
        <f>""</f>
        <v/>
      </c>
      <c r="C137" s="3" t="str">
        <f>""</f>
        <v/>
      </c>
      <c r="D137" s="3" t="str">
        <f>""</f>
        <v/>
      </c>
    </row>
    <row r="138" spans="1:4" x14ac:dyDescent="0.3">
      <c r="A138" s="2" t="str">
        <f>"DESPESAS"</f>
        <v>DESPESAS</v>
      </c>
      <c r="B138" s="3" t="str">
        <f>""</f>
        <v/>
      </c>
      <c r="C138" s="3" t="str">
        <f>""</f>
        <v/>
      </c>
      <c r="D138" s="3" t="str">
        <f>""</f>
        <v/>
      </c>
    </row>
    <row r="139" spans="1:4" x14ac:dyDescent="0.3">
      <c r="A139" s="2" t="str">
        <f>"3.0.0.00.00- DESPESAS"</f>
        <v>3.0.0.00.00- DESPESAS</v>
      </c>
      <c r="B139" s="9">
        <v>39127363.920000002</v>
      </c>
      <c r="C139" s="9">
        <v>21630222.969999999</v>
      </c>
      <c r="D139" s="9">
        <v>60757586.890000001</v>
      </c>
    </row>
    <row r="140" spans="1:4" x14ac:dyDescent="0.3">
      <c r="A140" s="2" t="str">
        <f>"3.1.0.00.00- DESPESAS OPERACIONAIS"</f>
        <v>3.1.0.00.00- DESPESAS OPERACIONAIS</v>
      </c>
      <c r="B140" s="9">
        <v>39127363.920000002</v>
      </c>
      <c r="C140" s="9">
        <v>21630222.969999999</v>
      </c>
      <c r="D140" s="9">
        <v>60757586.890000001</v>
      </c>
    </row>
    <row r="141" spans="1:4" x14ac:dyDescent="0.3">
      <c r="A141" s="2" t="str">
        <f>"3.1.1.00.00- SALARIOS ADICIONAIS E HONORARIOS"</f>
        <v>3.1.1.00.00- SALARIOS ADICIONAIS E HONORARIOS</v>
      </c>
      <c r="B141" s="9">
        <v>18716362.18</v>
      </c>
      <c r="C141" s="9">
        <v>11446381.84</v>
      </c>
      <c r="D141" s="9">
        <v>30162744.02</v>
      </c>
    </row>
    <row r="142" spans="1:4" x14ac:dyDescent="0.3">
      <c r="A142" s="2" t="str">
        <f>"3.1.1.00.01- Honorarios diretoria"</f>
        <v>3.1.1.00.01- Honorarios diretoria</v>
      </c>
      <c r="B142" s="9">
        <v>151046.68</v>
      </c>
      <c r="C142" s="9">
        <v>67593.240000000005</v>
      </c>
      <c r="D142" s="9">
        <v>218639.92</v>
      </c>
    </row>
    <row r="143" spans="1:4" x14ac:dyDescent="0.3">
      <c r="A143" s="2" t="str">
        <f>"3.1.1.00.02- Honorarios conselho fiscal"</f>
        <v>3.1.1.00.02- Honorarios conselho fiscal</v>
      </c>
      <c r="B143" s="9">
        <v>14302.5</v>
      </c>
      <c r="C143" s="9">
        <v>7151.25</v>
      </c>
      <c r="D143" s="9">
        <v>21453.75</v>
      </c>
    </row>
    <row r="144" spans="1:4" x14ac:dyDescent="0.3">
      <c r="A144" s="2" t="str">
        <f>"3.1.1.00.03- Honorarios cons. administracao"</f>
        <v>3.1.1.00.03- Honorarios cons. administracao</v>
      </c>
      <c r="B144" s="9">
        <v>49077.2</v>
      </c>
      <c r="C144" s="9">
        <v>24538.6</v>
      </c>
      <c r="D144" s="9">
        <v>73615.8</v>
      </c>
    </row>
    <row r="145" spans="1:4" x14ac:dyDescent="0.3">
      <c r="A145" s="2" t="str">
        <f>"3.1.1.00.04- Salarios e adicionais"</f>
        <v>3.1.1.00.04- Salarios e adicionais</v>
      </c>
      <c r="B145" s="9">
        <v>14276306.65</v>
      </c>
      <c r="C145" s="9">
        <v>9170655.4199999999</v>
      </c>
      <c r="D145" s="9">
        <v>23446962.07</v>
      </c>
    </row>
    <row r="146" spans="1:4" x14ac:dyDescent="0.3">
      <c r="A146" s="2" t="str">
        <f>"3.1.1.00.05- Ferias e abono pecuniario"</f>
        <v>3.1.1.00.05- Ferias e abono pecuniario</v>
      </c>
      <c r="B146" s="9">
        <v>1781295.13</v>
      </c>
      <c r="C146" s="9">
        <v>1189145.47</v>
      </c>
      <c r="D146" s="9">
        <v>2970440.6</v>
      </c>
    </row>
    <row r="147" spans="1:4" x14ac:dyDescent="0.3">
      <c r="A147" s="2" t="str">
        <f>"3.1.1.00.06- Decimo terceiro salario"</f>
        <v>3.1.1.00.06- Decimo terceiro salario</v>
      </c>
      <c r="B147" s="9">
        <v>1332370.1000000001</v>
      </c>
      <c r="C147" s="9">
        <v>788149.97</v>
      </c>
      <c r="D147" s="9">
        <v>2120520.0699999998</v>
      </c>
    </row>
    <row r="148" spans="1:4" x14ac:dyDescent="0.3">
      <c r="A148" s="2" t="str">
        <f>"3.1.1.00.07- Indenizacoes trabalhistas"</f>
        <v>3.1.1.00.07- Indenizacoes trabalhistas</v>
      </c>
      <c r="B148" s="9">
        <v>1060968.55</v>
      </c>
      <c r="C148" s="9">
        <v>173878.55</v>
      </c>
      <c r="D148" s="9">
        <v>1234847.1000000001</v>
      </c>
    </row>
    <row r="149" spans="1:4" x14ac:dyDescent="0.3">
      <c r="A149" s="2" t="str">
        <f>"3.1.1.00.08- Bolsas de estagiario"</f>
        <v>3.1.1.00.08- Bolsas de estagiario</v>
      </c>
      <c r="B149" s="9">
        <v>50995.37</v>
      </c>
      <c r="C149" s="9">
        <v>25269.34</v>
      </c>
      <c r="D149" s="9">
        <v>76264.710000000006</v>
      </c>
    </row>
    <row r="150" spans="1:4" x14ac:dyDescent="0.3">
      <c r="A150" s="2" t="str">
        <f>"3.1.2.01.00- ENCARGOS SOCIAIS"</f>
        <v>3.1.2.01.00- ENCARGOS SOCIAIS</v>
      </c>
      <c r="B150" s="9">
        <v>6456445.79</v>
      </c>
      <c r="C150" s="9">
        <v>4085500.43</v>
      </c>
      <c r="D150" s="9">
        <v>10541946.220000001</v>
      </c>
    </row>
    <row r="151" spans="1:4" x14ac:dyDescent="0.3">
      <c r="A151" s="2" t="str">
        <f>"3.1.2.01.01- INSS"</f>
        <v>3.1.2.01.01- INSS</v>
      </c>
      <c r="B151" s="9">
        <v>5015221.79</v>
      </c>
      <c r="C151" s="9">
        <v>3208039.01</v>
      </c>
      <c r="D151" s="9">
        <v>8223260.7999999998</v>
      </c>
    </row>
    <row r="152" spans="1:4" x14ac:dyDescent="0.3">
      <c r="A152" s="2" t="str">
        <f>"3.1.2.01.02- FGTS"</f>
        <v>3.1.2.01.02- FGTS</v>
      </c>
      <c r="B152" s="9">
        <v>1441224</v>
      </c>
      <c r="C152" s="9">
        <v>877461.42</v>
      </c>
      <c r="D152" s="9">
        <v>2318685.42</v>
      </c>
    </row>
    <row r="153" spans="1:4" x14ac:dyDescent="0.3">
      <c r="A153" s="2" t="str">
        <f>"3.1.2.02.00- OUTRAS DESPESAS COM PESSOAL"</f>
        <v>3.1.2.02.00- OUTRAS DESPESAS COM PESSOAL</v>
      </c>
      <c r="B153" s="9">
        <v>3325294.79</v>
      </c>
      <c r="C153" s="9">
        <v>1613198.3</v>
      </c>
      <c r="D153" s="9">
        <v>4938493.09</v>
      </c>
    </row>
    <row r="154" spans="1:4" x14ac:dyDescent="0.3">
      <c r="A154" s="2" t="str">
        <f>"3.1.2.02.01- Seguros de Vida"</f>
        <v>3.1.2.02.01- Seguros de Vida</v>
      </c>
      <c r="B154" s="9">
        <v>16183.61</v>
      </c>
      <c r="C154" s="9">
        <v>8051.27</v>
      </c>
      <c r="D154" s="9">
        <v>24234.880000000001</v>
      </c>
    </row>
    <row r="155" spans="1:4" x14ac:dyDescent="0.3">
      <c r="A155" s="2" t="str">
        <f>"3.1.2.02.02- Ass. Medica Odontologica"</f>
        <v>3.1.2.02.02- Ass. Medica Odontologica</v>
      </c>
      <c r="B155" s="9">
        <v>1393199.15</v>
      </c>
      <c r="C155" s="9">
        <v>673304.65</v>
      </c>
      <c r="D155" s="9">
        <v>2066503.8</v>
      </c>
    </row>
    <row r="156" spans="1:4" x14ac:dyDescent="0.3">
      <c r="A156" s="2" t="str">
        <f>"3.1.2.02.03- Vale Transporte"</f>
        <v>3.1.2.02.03- Vale Transporte</v>
      </c>
      <c r="B156" s="9">
        <v>105071.82</v>
      </c>
      <c r="C156" s="9">
        <v>29496.39</v>
      </c>
      <c r="D156" s="9">
        <v>134568.21</v>
      </c>
    </row>
    <row r="157" spans="1:4" x14ac:dyDescent="0.3">
      <c r="A157" s="2" t="str">
        <f>"3.1.2.02.04- Vale Refeicao/Alimentacao"</f>
        <v>3.1.2.02.04- Vale Refeicao/Alimentacao</v>
      </c>
      <c r="B157" s="9">
        <v>1759841.93</v>
      </c>
      <c r="C157" s="9">
        <v>882506.39</v>
      </c>
      <c r="D157" s="9">
        <v>2642348.3199999998</v>
      </c>
    </row>
    <row r="158" spans="1:4" x14ac:dyDescent="0.3">
      <c r="A158" s="2" t="str">
        <f>"3.1.2.02.05- Compl. Auxilio Doenca"</f>
        <v>3.1.2.02.05- Compl. Auxilio Doenca</v>
      </c>
      <c r="B158" s="9">
        <v>7596.93</v>
      </c>
      <c r="C158" s="9">
        <v>3217.64</v>
      </c>
      <c r="D158" s="9">
        <v>10814.57</v>
      </c>
    </row>
    <row r="159" spans="1:4" x14ac:dyDescent="0.3">
      <c r="A159" s="2" t="str">
        <f>"3.1.2.02.06- Cursos e Treinamentos"</f>
        <v>3.1.2.02.06- Cursos e Treinamentos</v>
      </c>
      <c r="B159" s="9">
        <v>10762.53</v>
      </c>
      <c r="C159" s="9">
        <v>0</v>
      </c>
      <c r="D159" s="9">
        <v>10762.53</v>
      </c>
    </row>
    <row r="160" spans="1:4" x14ac:dyDescent="0.3">
      <c r="A160" s="2" t="str">
        <f>"3.1.2.02.07- Auxilio Creche"</f>
        <v>3.1.2.02.07- Auxilio Creche</v>
      </c>
      <c r="B160" s="9">
        <v>32638.82</v>
      </c>
      <c r="C160" s="9">
        <v>16621.96</v>
      </c>
      <c r="D160" s="9">
        <v>49260.78</v>
      </c>
    </row>
    <row r="161" spans="1:4" x14ac:dyDescent="0.3">
      <c r="A161" s="2" t="str">
        <f>"3.1.3.00.00- MATERIAIS"</f>
        <v>3.1.3.00.00- MATERIAIS</v>
      </c>
      <c r="B161" s="9">
        <v>86518.89</v>
      </c>
      <c r="C161" s="9">
        <v>27721.69</v>
      </c>
      <c r="D161" s="9">
        <v>114240.58</v>
      </c>
    </row>
    <row r="162" spans="1:4" x14ac:dyDescent="0.3">
      <c r="A162" s="2" t="str">
        <f>"3.1.3.00.08- Material seguranca e uniformes"</f>
        <v>3.1.3.00.08- Material seguranca e uniformes</v>
      </c>
      <c r="B162" s="9">
        <v>830.04</v>
      </c>
      <c r="C162" s="9">
        <v>0</v>
      </c>
      <c r="D162" s="9">
        <v>830.04</v>
      </c>
    </row>
    <row r="163" spans="1:4" x14ac:dyDescent="0.3">
      <c r="A163" s="2" t="str">
        <f>"3.1.3.00.09- Material limp/conserv/copa/cozin"</f>
        <v>3.1.3.00.09- Material limp/conserv/copa/cozin</v>
      </c>
      <c r="B163" s="9">
        <v>34024.07</v>
      </c>
      <c r="C163" s="9">
        <v>5397.49</v>
      </c>
      <c r="D163" s="9">
        <v>39421.56</v>
      </c>
    </row>
    <row r="164" spans="1:4" x14ac:dyDescent="0.3">
      <c r="A164" s="2" t="str">
        <f>"3.1.3.00.10- Impressos e material de escritorio"</f>
        <v>3.1.3.00.10- Impressos e material de escritorio</v>
      </c>
      <c r="B164" s="9">
        <v>10492.7</v>
      </c>
      <c r="C164" s="9">
        <v>6028.29</v>
      </c>
      <c r="D164" s="9">
        <v>16520.990000000002</v>
      </c>
    </row>
    <row r="165" spans="1:4" x14ac:dyDescent="0.3">
      <c r="A165" s="2" t="str">
        <f>"3.1.3.00.11- Materiais manut. inst. prediais"</f>
        <v>3.1.3.00.11- Materiais manut. inst. prediais</v>
      </c>
      <c r="B165" s="9">
        <v>38169.49</v>
      </c>
      <c r="C165" s="9">
        <v>16146.91</v>
      </c>
      <c r="D165" s="9">
        <v>54316.4</v>
      </c>
    </row>
    <row r="166" spans="1:4" x14ac:dyDescent="0.3">
      <c r="A166" s="2" t="str">
        <f>"3.1.3.00.15- Materiais e supriment informatic"</f>
        <v>3.1.3.00.15- Materiais e supriment informatic</v>
      </c>
      <c r="B166" s="9">
        <v>1000.1</v>
      </c>
      <c r="C166" s="9">
        <v>149</v>
      </c>
      <c r="D166" s="9">
        <v>1149.0999999999999</v>
      </c>
    </row>
    <row r="167" spans="1:4" x14ac:dyDescent="0.3">
      <c r="A167" s="2" t="str">
        <f>"3.1.3.00.99- Outros materiais"</f>
        <v>3.1.3.00.99- Outros materiais</v>
      </c>
      <c r="B167" s="9">
        <v>2002.49</v>
      </c>
      <c r="C167" s="9">
        <v>0</v>
      </c>
      <c r="D167" s="9">
        <v>2002.49</v>
      </c>
    </row>
    <row r="168" spans="1:4" x14ac:dyDescent="0.3">
      <c r="A168" s="2" t="str">
        <f>"3.1.4.00.00- SERVICOS PRESTADOS POR TERCEIROS"</f>
        <v>3.1.4.00.00- SERVICOS PRESTADOS POR TERCEIROS</v>
      </c>
      <c r="B168" s="9">
        <v>9148044.5899999999</v>
      </c>
      <c r="C168" s="9">
        <v>3448381.47</v>
      </c>
      <c r="D168" s="9">
        <v>12596426.060000001</v>
      </c>
    </row>
    <row r="169" spans="1:4" x14ac:dyDescent="0.3">
      <c r="A169" s="2" t="str">
        <f>"3.1.4.00.01- Consultoria"</f>
        <v>3.1.4.00.01- Consultoria</v>
      </c>
      <c r="B169" s="9">
        <v>26102.12</v>
      </c>
      <c r="C169" s="9">
        <v>455.73</v>
      </c>
      <c r="D169" s="9">
        <v>26557.85</v>
      </c>
    </row>
    <row r="170" spans="1:4" x14ac:dyDescent="0.3">
      <c r="A170" s="2" t="str">
        <f>"3.1.4.00.02- Locacao de veiculos"</f>
        <v>3.1.4.00.02- Locacao de veiculos</v>
      </c>
      <c r="B170" s="9">
        <v>12865.68</v>
      </c>
      <c r="C170" s="9">
        <v>6432.84</v>
      </c>
      <c r="D170" s="9">
        <v>19298.52</v>
      </c>
    </row>
    <row r="171" spans="1:4" x14ac:dyDescent="0.3">
      <c r="A171" s="2" t="str">
        <f>"3.1.4.00.03- Locacao de equipamentos"</f>
        <v>3.1.4.00.03- Locacao de equipamentos</v>
      </c>
      <c r="B171" s="9">
        <v>8352.5</v>
      </c>
      <c r="C171" s="9">
        <v>3767.19</v>
      </c>
      <c r="D171" s="9">
        <v>12119.69</v>
      </c>
    </row>
    <row r="172" spans="1:4" x14ac:dyDescent="0.3">
      <c r="A172" s="2" t="str">
        <f>"3.1.4.00.10- Mao de obra contratada"</f>
        <v>3.1.4.00.10- Mao de obra contratada</v>
      </c>
      <c r="B172" s="9">
        <v>6721104.1799999997</v>
      </c>
      <c r="C172" s="9">
        <v>1552485.24</v>
      </c>
      <c r="D172" s="9">
        <v>8273589.4199999999</v>
      </c>
    </row>
    <row r="173" spans="1:4" x14ac:dyDescent="0.3">
      <c r="A173" s="2" t="str">
        <f>"3.1.4.00.13- Publicidade e divulgacao"</f>
        <v>3.1.4.00.13- Publicidade e divulgacao</v>
      </c>
      <c r="B173" s="9">
        <v>793.92</v>
      </c>
      <c r="C173" s="9">
        <v>0</v>
      </c>
      <c r="D173" s="9">
        <v>793.92</v>
      </c>
    </row>
    <row r="174" spans="1:4" x14ac:dyDescent="0.3">
      <c r="A174" s="2" t="str">
        <f>"3.1.4.00.14- Informatica-serv. e/ou locacao"</f>
        <v>3.1.4.00.14- Informatica-serv. e/ou locacao</v>
      </c>
      <c r="B174" s="9">
        <v>514101.52</v>
      </c>
      <c r="C174" s="9">
        <v>211249.12</v>
      </c>
      <c r="D174" s="9">
        <v>725350.64</v>
      </c>
    </row>
    <row r="175" spans="1:4" x14ac:dyDescent="0.3">
      <c r="A175" s="2" t="str">
        <f>"3.1.4.00.15- Outros serv. prestados - PF"</f>
        <v>3.1.4.00.15- Outros serv. prestados - PF</v>
      </c>
      <c r="B175" s="9">
        <v>63381.63</v>
      </c>
      <c r="C175" s="9">
        <v>24392.39</v>
      </c>
      <c r="D175" s="9">
        <v>87774.02</v>
      </c>
    </row>
    <row r="176" spans="1:4" x14ac:dyDescent="0.3">
      <c r="A176" s="2" t="str">
        <f>"3.1.4.00.16- Outros serv. Prestados - PJ"</f>
        <v>3.1.4.00.16- Outros serv. Prestados - PJ</v>
      </c>
      <c r="B176" s="9">
        <v>533010.78</v>
      </c>
      <c r="C176" s="9">
        <v>172524.38</v>
      </c>
      <c r="D176" s="9">
        <v>705535.16</v>
      </c>
    </row>
    <row r="177" spans="1:4" x14ac:dyDescent="0.3">
      <c r="A177" s="2" t="str">
        <f>"3.1.4.00.17- Servicos postais"</f>
        <v>3.1.4.00.17- Servicos postais</v>
      </c>
      <c r="B177" s="9">
        <v>12314.39</v>
      </c>
      <c r="C177" s="9">
        <v>4540.8500000000004</v>
      </c>
      <c r="D177" s="9">
        <v>16855.240000000002</v>
      </c>
    </row>
    <row r="178" spans="1:4" x14ac:dyDescent="0.3">
      <c r="A178" s="2" t="str">
        <f>"3.1.4.00.19- Manut. imoveis/instal/equip.oper"</f>
        <v>3.1.4.00.19- Manut. imoveis/instal/equip.oper</v>
      </c>
      <c r="B178" s="9">
        <v>21500</v>
      </c>
      <c r="C178" s="9">
        <v>15156.84</v>
      </c>
      <c r="D178" s="9">
        <v>36656.839999999997</v>
      </c>
    </row>
    <row r="179" spans="1:4" x14ac:dyDescent="0.3">
      <c r="A179" s="2" t="str">
        <f>"3.1.4.00.26- Serv.limp.conserv."</f>
        <v>3.1.4.00.26- Serv.limp.conserv.</v>
      </c>
      <c r="B179" s="9">
        <v>986421.14</v>
      </c>
      <c r="C179" s="9">
        <v>1612254.16</v>
      </c>
      <c r="D179" s="9">
        <v>2598675.2999999998</v>
      </c>
    </row>
    <row r="180" spans="1:4" x14ac:dyDescent="0.3">
      <c r="A180" s="2" t="str">
        <f>"3.1.4.00.32- Vale transporte"</f>
        <v>3.1.4.00.32- Vale transporte</v>
      </c>
      <c r="B180" s="9">
        <v>10974.69</v>
      </c>
      <c r="C180" s="9">
        <v>0</v>
      </c>
      <c r="D180" s="9">
        <v>10974.69</v>
      </c>
    </row>
    <row r="181" spans="1:4" x14ac:dyDescent="0.3">
      <c r="A181" s="2" t="str">
        <f>"3.1.4.00.33- Vale Ref./Al.terceir."</f>
        <v>3.1.4.00.33- Vale Ref./Al.terceir.</v>
      </c>
      <c r="B181" s="9">
        <v>104736.56</v>
      </c>
      <c r="C181" s="9">
        <v>0</v>
      </c>
      <c r="D181" s="9">
        <v>104736.56</v>
      </c>
    </row>
    <row r="182" spans="1:4" x14ac:dyDescent="0.3">
      <c r="A182" s="2" t="str">
        <f>"3.1.4.00.34- Comissao s/venda rotativo"</f>
        <v>3.1.4.00.34- Comissao s/venda rotativo</v>
      </c>
      <c r="B182" s="9">
        <v>5707.84</v>
      </c>
      <c r="C182" s="9">
        <v>0</v>
      </c>
      <c r="D182" s="9">
        <v>5707.84</v>
      </c>
    </row>
    <row r="183" spans="1:4" x14ac:dyDescent="0.3">
      <c r="A183" s="2" t="str">
        <f>"3.1.4.00.36- (-) Desconto ISSQN conf Lei 9145 serv. P"</f>
        <v>3.1.4.00.36- (-) Desconto ISSQN conf Lei 9145 serv. P</v>
      </c>
      <c r="B183" s="9">
        <v>-339989.02</v>
      </c>
      <c r="C183" s="9">
        <v>-183110.64</v>
      </c>
      <c r="D183" s="9">
        <v>-523099.66</v>
      </c>
    </row>
    <row r="184" spans="1:4" x14ac:dyDescent="0.3">
      <c r="A184" s="2" t="str">
        <f>"3.1.4.00.39- Convênio Guarda Municipal"</f>
        <v>3.1.4.00.39- Convênio Guarda Municipal</v>
      </c>
      <c r="B184" s="9">
        <v>466666.66</v>
      </c>
      <c r="C184" s="9">
        <v>28233.37</v>
      </c>
      <c r="D184" s="9">
        <v>494900.03</v>
      </c>
    </row>
    <row r="185" spans="1:4" x14ac:dyDescent="0.3">
      <c r="A185" s="2" t="str">
        <f>"3.1.5.00.00- TARIFAS PUBLICAS"</f>
        <v>3.1.5.00.00- TARIFAS PUBLICAS</v>
      </c>
      <c r="B185" s="9">
        <v>161351.03</v>
      </c>
      <c r="C185" s="9">
        <v>211049.25</v>
      </c>
      <c r="D185" s="9">
        <v>372400.28</v>
      </c>
    </row>
    <row r="186" spans="1:4" x14ac:dyDescent="0.3">
      <c r="A186" s="2" t="str">
        <f>"3.1.5.00.02- Energia eletrica"</f>
        <v>3.1.5.00.02- Energia eletrica</v>
      </c>
      <c r="B186" s="9">
        <v>77085.350000000006</v>
      </c>
      <c r="C186" s="9">
        <v>0</v>
      </c>
      <c r="D186" s="9">
        <v>77085.350000000006</v>
      </c>
    </row>
    <row r="187" spans="1:4" x14ac:dyDescent="0.3">
      <c r="A187" s="2" t="str">
        <f>"3.1.5.00.03- Telefone"</f>
        <v>3.1.5.00.03- Telefone</v>
      </c>
      <c r="B187" s="9">
        <v>84265.68</v>
      </c>
      <c r="C187" s="9">
        <v>16346.8</v>
      </c>
      <c r="D187" s="9">
        <v>100612.48</v>
      </c>
    </row>
    <row r="188" spans="1:4" x14ac:dyDescent="0.3">
      <c r="A188" s="2" t="str">
        <f>"3.1.5.00.04- Copasa/FMS"</f>
        <v>3.1.5.00.04- Copasa/FMS</v>
      </c>
      <c r="B188" s="9">
        <v>0</v>
      </c>
      <c r="C188" s="9">
        <v>194702.45</v>
      </c>
      <c r="D188" s="9">
        <v>194702.45</v>
      </c>
    </row>
    <row r="189" spans="1:4" x14ac:dyDescent="0.3">
      <c r="A189" s="2" t="str">
        <f>"3.1.6.00.00- DESPESAS TRIBUTARIAS"</f>
        <v>3.1.6.00.00- DESPESAS TRIBUTARIAS</v>
      </c>
      <c r="B189" s="9">
        <v>488829.37</v>
      </c>
      <c r="C189" s="9">
        <v>373610.39</v>
      </c>
      <c r="D189" s="9">
        <v>862439.76</v>
      </c>
    </row>
    <row r="190" spans="1:4" x14ac:dyDescent="0.3">
      <c r="A190" s="2" t="str">
        <f>"3.1.6.00.01- Taxas legais"</f>
        <v>3.1.6.00.01- Taxas legais</v>
      </c>
      <c r="B190" s="9">
        <v>465.88</v>
      </c>
      <c r="C190" s="9">
        <v>465.88</v>
      </c>
      <c r="D190" s="9">
        <v>931.76</v>
      </c>
    </row>
    <row r="191" spans="1:4" x14ac:dyDescent="0.3">
      <c r="A191" s="2" t="str">
        <f>"3.1.6.00.03- IOF"</f>
        <v>3.1.6.00.03- IOF</v>
      </c>
      <c r="B191" s="9">
        <v>3917.58</v>
      </c>
      <c r="C191" s="9">
        <v>0</v>
      </c>
      <c r="D191" s="9">
        <v>3917.58</v>
      </c>
    </row>
    <row r="192" spans="1:4" x14ac:dyDescent="0.3">
      <c r="A192" s="2" t="str">
        <f>"3.1.6.00.05- Contrib. Social s/lucro liquido"</f>
        <v>3.1.6.00.05- Contrib. Social s/lucro liquido</v>
      </c>
      <c r="B192" s="9">
        <v>0</v>
      </c>
      <c r="C192" s="9">
        <v>61579.66</v>
      </c>
      <c r="D192" s="9">
        <v>61579.66</v>
      </c>
    </row>
    <row r="193" spans="1:4" x14ac:dyDescent="0.3">
      <c r="A193" s="2" t="str">
        <f>"3.1.6.00.06- PIS"</f>
        <v>3.1.6.00.06- PIS</v>
      </c>
      <c r="B193" s="9">
        <v>81810.240000000005</v>
      </c>
      <c r="C193" s="9">
        <v>52669.96</v>
      </c>
      <c r="D193" s="9">
        <v>134480.20000000001</v>
      </c>
    </row>
    <row r="194" spans="1:4" x14ac:dyDescent="0.3">
      <c r="A194" s="2" t="str">
        <f>"3.1.6.00.07- COFINS"</f>
        <v>3.1.6.00.07- COFINS</v>
      </c>
      <c r="B194" s="9">
        <v>376822.95</v>
      </c>
      <c r="C194" s="9">
        <v>242601.03</v>
      </c>
      <c r="D194" s="9">
        <v>619423.98</v>
      </c>
    </row>
    <row r="195" spans="1:4" x14ac:dyDescent="0.3">
      <c r="A195" s="2" t="str">
        <f>"3.1.6.00.14- Contrib.entid.classe"</f>
        <v>3.1.6.00.14- Contrib.entid.classe</v>
      </c>
      <c r="B195" s="9">
        <v>0</v>
      </c>
      <c r="C195" s="9">
        <v>4981.72</v>
      </c>
      <c r="D195" s="9">
        <v>4981.72</v>
      </c>
    </row>
    <row r="196" spans="1:4" x14ac:dyDescent="0.3">
      <c r="A196" s="2" t="str">
        <f>"3.1.6.00.15- INSS Serv.terceiros"</f>
        <v>3.1.6.00.15- INSS Serv.terceiros</v>
      </c>
      <c r="B196" s="9">
        <v>12678.52</v>
      </c>
      <c r="C196" s="9">
        <v>4844.83</v>
      </c>
      <c r="D196" s="9">
        <v>17523.349999999999</v>
      </c>
    </row>
    <row r="197" spans="1:4" x14ac:dyDescent="0.3">
      <c r="A197" s="2" t="str">
        <f>"3.1.6.00.17- PIS s/ receitas financeiras"</f>
        <v>3.1.6.00.17- PIS s/ receitas financeiras</v>
      </c>
      <c r="B197" s="9">
        <v>1835.96</v>
      </c>
      <c r="C197" s="9">
        <v>904.03</v>
      </c>
      <c r="D197" s="9">
        <v>2739.99</v>
      </c>
    </row>
    <row r="198" spans="1:4" x14ac:dyDescent="0.3">
      <c r="A198" s="2" t="str">
        <f>"3.1.6.00.18- Cofins s/ receitas financeiras"</f>
        <v>3.1.6.00.18- Cofins s/ receitas financeiras</v>
      </c>
      <c r="B198" s="9">
        <v>11298.24</v>
      </c>
      <c r="C198" s="9">
        <v>5563.28</v>
      </c>
      <c r="D198" s="9">
        <v>16861.52</v>
      </c>
    </row>
    <row r="199" spans="1:4" x14ac:dyDescent="0.3">
      <c r="A199" s="2" t="str">
        <f>"3.1.7.00.00- DESPESAS FINANCEIRAS"</f>
        <v>3.1.7.00.00- DESPESAS FINANCEIRAS</v>
      </c>
      <c r="B199" s="9">
        <v>208.02</v>
      </c>
      <c r="C199" s="9">
        <v>134.4</v>
      </c>
      <c r="D199" s="9">
        <v>342.42</v>
      </c>
    </row>
    <row r="200" spans="1:4" x14ac:dyDescent="0.3">
      <c r="A200" s="2" t="str">
        <f>"3.1.7.01.02- Despesas bancarias"</f>
        <v>3.1.7.01.02- Despesas bancarias</v>
      </c>
      <c r="B200" s="9">
        <v>208.02</v>
      </c>
      <c r="C200" s="9">
        <v>134.4</v>
      </c>
      <c r="D200" s="9">
        <v>342.42</v>
      </c>
    </row>
    <row r="201" spans="1:4" x14ac:dyDescent="0.3">
      <c r="A201" s="2" t="str">
        <f>"3.1.8.00.00- OUTRAS DESPESAS"</f>
        <v>3.1.8.00.00- OUTRAS DESPESAS</v>
      </c>
      <c r="B201" s="9">
        <v>744309.26</v>
      </c>
      <c r="C201" s="9">
        <v>424245.2</v>
      </c>
      <c r="D201" s="9">
        <v>1168554.46</v>
      </c>
    </row>
    <row r="202" spans="1:4" x14ac:dyDescent="0.3">
      <c r="A202" s="2" t="str">
        <f>"3.1.8.00.05- Depreciacao/amort"</f>
        <v>3.1.8.00.05- Depreciacao/amort</v>
      </c>
      <c r="B202" s="9">
        <v>52659.59</v>
      </c>
      <c r="C202" s="9">
        <v>25983.73</v>
      </c>
      <c r="D202" s="9">
        <v>78643.320000000007</v>
      </c>
    </row>
    <row r="203" spans="1:4" x14ac:dyDescent="0.3">
      <c r="A203" s="2" t="str">
        <f>"3.1.8.00.06- Seguros bens moveis e imoveis"</f>
        <v>3.1.8.00.06- Seguros bens moveis e imoveis</v>
      </c>
      <c r="B203" s="9">
        <v>4168.26</v>
      </c>
      <c r="C203" s="9">
        <v>1945.11</v>
      </c>
      <c r="D203" s="9">
        <v>6113.37</v>
      </c>
    </row>
    <row r="204" spans="1:4" x14ac:dyDescent="0.3">
      <c r="A204" s="2" t="str">
        <f>"3.1.8.00.09- Multas e juros dedutiveis"</f>
        <v>3.1.8.00.09- Multas e juros dedutiveis</v>
      </c>
      <c r="B204" s="9">
        <v>0</v>
      </c>
      <c r="C204" s="9">
        <v>1225.43</v>
      </c>
      <c r="D204" s="9">
        <v>1225.43</v>
      </c>
    </row>
    <row r="205" spans="1:4" x14ac:dyDescent="0.3">
      <c r="A205" s="2" t="str">
        <f>"3.1.8.00.12- Acoes judiciais terceiros"</f>
        <v>3.1.8.00.12- Acoes judiciais terceiros</v>
      </c>
      <c r="B205" s="9">
        <v>0</v>
      </c>
      <c r="C205" s="9">
        <v>4644</v>
      </c>
      <c r="D205" s="9">
        <v>4644</v>
      </c>
    </row>
    <row r="206" spans="1:4" x14ac:dyDescent="0.3">
      <c r="A206" s="2" t="str">
        <f>"3.1.8.00.16- Baixa de imobilizado"</f>
        <v>3.1.8.00.16- Baixa de imobilizado</v>
      </c>
      <c r="B206" s="9">
        <v>2609.42</v>
      </c>
      <c r="C206" s="9">
        <v>0</v>
      </c>
      <c r="D206" s="9">
        <v>2609.42</v>
      </c>
    </row>
    <row r="207" spans="1:4" x14ac:dyDescent="0.3">
      <c r="A207" s="2" t="str">
        <f>"3.1.8.00.23- Custas/Despesas Judiciais"</f>
        <v>3.1.8.00.23- Custas/Despesas Judiciais</v>
      </c>
      <c r="B207" s="9">
        <v>26566.47</v>
      </c>
      <c r="C207" s="9">
        <v>17155.95</v>
      </c>
      <c r="D207" s="9">
        <v>43722.42</v>
      </c>
    </row>
    <row r="208" spans="1:4" x14ac:dyDescent="0.3">
      <c r="A208" s="2" t="str">
        <f>"3.1.8.00.30- Estacionamento Rotativo Digital"</f>
        <v>3.1.8.00.30- Estacionamento Rotativo Digital</v>
      </c>
      <c r="B208" s="9">
        <v>654090.53</v>
      </c>
      <c r="C208" s="9">
        <v>337252.77</v>
      </c>
      <c r="D208" s="9">
        <v>991343.3</v>
      </c>
    </row>
    <row r="209" spans="1:4" x14ac:dyDescent="0.3">
      <c r="A209" s="2" t="str">
        <f>"3.1.8.00.99- Despesas diversas"</f>
        <v>3.1.8.00.99- Despesas diversas</v>
      </c>
      <c r="B209" s="9">
        <v>4214.99</v>
      </c>
      <c r="C209" s="9">
        <v>36038.21</v>
      </c>
      <c r="D209" s="9">
        <v>40253.199999999997</v>
      </c>
    </row>
    <row r="210" spans="1:4" x14ac:dyDescent="0.3">
      <c r="A210" s="2" t="str">
        <f>""</f>
        <v/>
      </c>
      <c r="B210" s="3" t="str">
        <f>""</f>
        <v/>
      </c>
      <c r="C210" s="3" t="str">
        <f>""</f>
        <v/>
      </c>
      <c r="D210" s="3" t="str">
        <f>""</f>
        <v/>
      </c>
    </row>
    <row r="211" spans="1:4" x14ac:dyDescent="0.3">
      <c r="A211" s="2" t="str">
        <f>"RECEITAS"</f>
        <v>RECEITAS</v>
      </c>
      <c r="B211" s="3" t="str">
        <f>""</f>
        <v/>
      </c>
      <c r="C211" s="3" t="str">
        <f>""</f>
        <v/>
      </c>
      <c r="D211" s="3" t="str">
        <f>""</f>
        <v/>
      </c>
    </row>
    <row r="212" spans="1:4" x14ac:dyDescent="0.3">
      <c r="A212" s="2" t="str">
        <f>"4.0.0.00.00- RECEITAS"</f>
        <v>4.0.0.00.00- RECEITAS</v>
      </c>
      <c r="B212" s="9">
        <v>38031582.409999996</v>
      </c>
      <c r="C212" s="9">
        <v>21245794.239999998</v>
      </c>
      <c r="D212" s="9">
        <v>59277376.649999999</v>
      </c>
    </row>
    <row r="213" spans="1:4" x14ac:dyDescent="0.3">
      <c r="A213" s="2" t="str">
        <f>"4.1.0.00.00- RECEITAS BHTRANS"</f>
        <v>4.1.0.00.00- RECEITAS BHTRANS</v>
      </c>
      <c r="B213" s="9">
        <v>4637831.08</v>
      </c>
      <c r="C213" s="9">
        <v>3132729.31</v>
      </c>
      <c r="D213" s="9">
        <v>7770560.3899999997</v>
      </c>
    </row>
    <row r="214" spans="1:4" x14ac:dyDescent="0.3">
      <c r="A214" s="2" t="str">
        <f>"4.1.1.00.00- RECEITAS OPERACIONAIS"</f>
        <v>4.1.1.00.00- RECEITAS OPERACIONAIS</v>
      </c>
      <c r="B214" s="9">
        <v>4405500</v>
      </c>
      <c r="C214" s="9">
        <v>2970000</v>
      </c>
      <c r="D214" s="9">
        <v>7375500</v>
      </c>
    </row>
    <row r="215" spans="1:4" x14ac:dyDescent="0.3">
      <c r="A215" s="2" t="str">
        <f>"4.1.1.00.21- Estacionamento Rotativo Digital"</f>
        <v>4.1.1.00.21- Estacionamento Rotativo Digital</v>
      </c>
      <c r="B215" s="9">
        <v>4405500</v>
      </c>
      <c r="C215" s="9">
        <v>2970000</v>
      </c>
      <c r="D215" s="9">
        <v>7375500</v>
      </c>
    </row>
    <row r="216" spans="1:4" x14ac:dyDescent="0.3">
      <c r="A216" s="2" t="str">
        <f>"4.1.8.00.00- RECEITAS ALUGUEIS ESTACOES"</f>
        <v>4.1.8.00.00- RECEITAS ALUGUEIS ESTACOES</v>
      </c>
      <c r="B216" s="9">
        <v>232331.08</v>
      </c>
      <c r="C216" s="9">
        <v>162729.31</v>
      </c>
      <c r="D216" s="9">
        <v>395060.39</v>
      </c>
    </row>
    <row r="217" spans="1:4" x14ac:dyDescent="0.3">
      <c r="A217" s="2" t="str">
        <f>"4.1.8.00.01- Alugueis Estacoes"</f>
        <v>4.1.8.00.01- Alugueis Estacoes</v>
      </c>
      <c r="B217" s="9">
        <v>232331.08</v>
      </c>
      <c r="C217" s="9">
        <v>162729.31</v>
      </c>
      <c r="D217" s="9">
        <v>395060.39</v>
      </c>
    </row>
    <row r="218" spans="1:4" x14ac:dyDescent="0.3">
      <c r="A218" s="2" t="str">
        <f>"4.2.0.00.00- RECEITAS FINANCEIRAS"</f>
        <v>4.2.0.00.00- RECEITAS FINANCEIRAS</v>
      </c>
      <c r="B218" s="9">
        <v>282455.96999999997</v>
      </c>
      <c r="C218" s="9">
        <v>139081.93</v>
      </c>
      <c r="D218" s="9">
        <v>421537.9</v>
      </c>
    </row>
    <row r="219" spans="1:4" x14ac:dyDescent="0.3">
      <c r="A219" s="2" t="str">
        <f>"4.2.1.00.00- RECEITAS FINANCEIRAS"</f>
        <v>4.2.1.00.00- RECEITAS FINANCEIRAS</v>
      </c>
      <c r="B219" s="9">
        <v>282455.96999999997</v>
      </c>
      <c r="C219" s="9">
        <v>139081.93</v>
      </c>
      <c r="D219" s="9">
        <v>421537.9</v>
      </c>
    </row>
    <row r="220" spans="1:4" x14ac:dyDescent="0.3">
      <c r="A220" s="2" t="str">
        <f>"4.2.1.00.01- Rendimentos aplic. Financeira"</f>
        <v>4.2.1.00.01- Rendimentos aplic. Financeira</v>
      </c>
      <c r="B220" s="9">
        <v>274795.32</v>
      </c>
      <c r="C220" s="9">
        <v>139081.93</v>
      </c>
      <c r="D220" s="9">
        <v>413877.25</v>
      </c>
    </row>
    <row r="221" spans="1:4" x14ac:dyDescent="0.3">
      <c r="A221" s="2" t="str">
        <f>"4.2.1.00.05- Receitas Financeiras"</f>
        <v>4.2.1.00.05- Receitas Financeiras</v>
      </c>
      <c r="B221" s="9">
        <v>7660.65</v>
      </c>
      <c r="C221" s="9">
        <v>0</v>
      </c>
      <c r="D221" s="9">
        <v>7660.65</v>
      </c>
    </row>
    <row r="222" spans="1:4" x14ac:dyDescent="0.3">
      <c r="A222" s="2" t="str">
        <f>"4.3.0.00.00- OUTRAS RECEITAS"</f>
        <v>4.3.0.00.00- OUTRAS RECEITAS</v>
      </c>
      <c r="B222" s="9">
        <v>33111295.359999999</v>
      </c>
      <c r="C222" s="9">
        <v>17973983</v>
      </c>
      <c r="D222" s="9">
        <v>51085278.359999999</v>
      </c>
    </row>
    <row r="223" spans="1:4" x14ac:dyDescent="0.3">
      <c r="A223" s="2" t="str">
        <f>"4.3.1.00.00- OUTRAS RECEITAS"</f>
        <v>4.3.1.00.00- OUTRAS RECEITAS</v>
      </c>
      <c r="B223" s="9">
        <v>33111295.359999999</v>
      </c>
      <c r="C223" s="9">
        <v>17973983</v>
      </c>
      <c r="D223" s="9">
        <v>51085278.359999999</v>
      </c>
    </row>
    <row r="224" spans="1:4" x14ac:dyDescent="0.3">
      <c r="A224" s="2" t="str">
        <f>"4.3.1.00.04- Receitas Diversas"</f>
        <v>4.3.1.00.04- Receitas Diversas</v>
      </c>
      <c r="B224" s="9">
        <v>320365.68</v>
      </c>
      <c r="C224" s="9">
        <v>59389.55</v>
      </c>
      <c r="D224" s="9">
        <v>379755.23</v>
      </c>
    </row>
    <row r="225" spans="1:4" x14ac:dyDescent="0.3">
      <c r="A225" s="2" t="str">
        <f>"4.3.1.00.10- Outras Receitas- Subvenção Econ. Custeio"</f>
        <v>4.3.1.00.10- Outras Receitas- Subvenção Econ. Custeio</v>
      </c>
      <c r="B225" s="9">
        <v>32790929.68</v>
      </c>
      <c r="C225" s="9">
        <v>17914593.449999999</v>
      </c>
      <c r="D225" s="9">
        <v>50705523.130000003</v>
      </c>
    </row>
    <row r="226" spans="1:4" x14ac:dyDescent="0.3">
      <c r="A226" s="2" t="str">
        <f>""</f>
        <v/>
      </c>
      <c r="B226" s="3" t="str">
        <f>""</f>
        <v/>
      </c>
      <c r="C226" s="3" t="str">
        <f>""</f>
        <v/>
      </c>
      <c r="D226" s="3" t="str">
        <f>""</f>
        <v/>
      </c>
    </row>
    <row r="227" spans="1:4" x14ac:dyDescent="0.3">
      <c r="A227" s="2" t="str">
        <f>"APURACAO DE RESULTADOS"</f>
        <v>APURACAO DE RESULTADOS</v>
      </c>
      <c r="B227" s="3" t="str">
        <f>""</f>
        <v/>
      </c>
      <c r="C227" s="3" t="str">
        <f>""</f>
        <v/>
      </c>
      <c r="D227" s="3" t="str">
        <f>""</f>
        <v/>
      </c>
    </row>
    <row r="228" spans="1:4" x14ac:dyDescent="0.3">
      <c r="A228" s="2" t="str">
        <f>"5.0.0.00.00- APURACAO DE RESULTADOS"</f>
        <v>5.0.0.00.00- APURACAO DE RESULTADOS</v>
      </c>
      <c r="B228" s="9">
        <v>-1095781.51</v>
      </c>
      <c r="C228" s="9">
        <v>-384428.73</v>
      </c>
      <c r="D228" s="9">
        <v>-1480210.24</v>
      </c>
    </row>
    <row r="229" spans="1:4" x14ac:dyDescent="0.3">
      <c r="A229" s="2" t="str">
        <f>"5.1.0.00.00- APURACAO DE RESULTADOS"</f>
        <v>5.1.0.00.00- APURACAO DE RESULTADOS</v>
      </c>
      <c r="B229" s="9">
        <v>-1095781.51</v>
      </c>
      <c r="C229" s="9">
        <v>-384428.73</v>
      </c>
      <c r="D229" s="9">
        <v>-1480210.24</v>
      </c>
    </row>
    <row r="230" spans="1:4" x14ac:dyDescent="0.3">
      <c r="A230" s="2" t="str">
        <f>"5.1.1.00.00- APURACAO DE RESULTADOS"</f>
        <v>5.1.1.00.00- APURACAO DE RESULTADOS</v>
      </c>
      <c r="B230" s="9">
        <v>-1095781.51</v>
      </c>
      <c r="C230" s="9">
        <v>-384428.73</v>
      </c>
      <c r="D230" s="9">
        <v>-1480210.24</v>
      </c>
    </row>
    <row r="231" spans="1:4" x14ac:dyDescent="0.3">
      <c r="A231" s="2" t="str">
        <f>"5.1.1.00.01- Transferencia das Despesas"</f>
        <v>5.1.1.00.01- Transferencia das Despesas</v>
      </c>
      <c r="B231" s="9">
        <v>-39127363.920000002</v>
      </c>
      <c r="C231" s="9">
        <v>-21630222.969999999</v>
      </c>
      <c r="D231" s="9">
        <v>-60757586.890000001</v>
      </c>
    </row>
    <row r="232" spans="1:4" ht="15" thickBot="1" x14ac:dyDescent="0.35">
      <c r="A232" s="4" t="str">
        <f>"5.1.1.00.02- Transferencia das Receitas"</f>
        <v>5.1.1.00.02- Transferencia das Receitas</v>
      </c>
      <c r="B232" s="10">
        <v>38031582.409999996</v>
      </c>
      <c r="C232" s="10">
        <v>21245794.239999998</v>
      </c>
      <c r="D232" s="10">
        <v>59277376.649999999</v>
      </c>
    </row>
    <row r="233" spans="1:4" x14ac:dyDescent="0.3">
      <c r="A233" t="s">
        <v>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4C884-7C2E-42C4-8D02-570AC4BACB75}">
  <dimension ref="A1:D240"/>
  <sheetViews>
    <sheetView workbookViewId="0">
      <selection activeCell="H15" sqref="H15"/>
    </sheetView>
  </sheetViews>
  <sheetFormatPr defaultRowHeight="14.4" x14ac:dyDescent="0.3"/>
  <cols>
    <col min="1" max="1" width="69.5546875" bestFit="1" customWidth="1"/>
    <col min="2" max="2" width="14.33203125" bestFit="1" customWidth="1"/>
    <col min="3" max="3" width="13.88671875" bestFit="1" customWidth="1"/>
    <col min="4" max="4" width="14.33203125" bestFit="1" customWidth="1"/>
  </cols>
  <sheetData>
    <row r="1" spans="1:4" ht="18.600000000000001" thickBot="1" x14ac:dyDescent="0.4">
      <c r="A1" s="1" t="s">
        <v>8</v>
      </c>
      <c r="B1" s="1"/>
      <c r="C1" s="1"/>
      <c r="D1" s="1"/>
    </row>
    <row r="2" spans="1:4" ht="15" thickBot="1" x14ac:dyDescent="0.35">
      <c r="A2" s="7" t="s">
        <v>1</v>
      </c>
      <c r="B2" s="8" t="s">
        <v>2</v>
      </c>
      <c r="C2" s="8" t="s">
        <v>3</v>
      </c>
      <c r="D2" s="8" t="s">
        <v>4</v>
      </c>
    </row>
    <row r="3" spans="1:4" x14ac:dyDescent="0.3">
      <c r="A3" s="5" t="str">
        <f>"ATIVO"</f>
        <v>ATIVO</v>
      </c>
      <c r="B3" s="6" t="str">
        <f>""</f>
        <v/>
      </c>
      <c r="C3" s="6" t="str">
        <f>""</f>
        <v/>
      </c>
      <c r="D3" s="6" t="str">
        <f>""</f>
        <v/>
      </c>
    </row>
    <row r="4" spans="1:4" x14ac:dyDescent="0.3">
      <c r="A4" s="2" t="str">
        <f>"1.0.0.00.00- ATIVO"</f>
        <v>1.0.0.00.00- ATIVO</v>
      </c>
      <c r="B4" s="9">
        <v>58381277.119999997</v>
      </c>
      <c r="C4" s="9">
        <v>3801253.57</v>
      </c>
      <c r="D4" s="9">
        <v>62182530.689999998</v>
      </c>
    </row>
    <row r="5" spans="1:4" x14ac:dyDescent="0.3">
      <c r="A5" s="2" t="str">
        <f>"1.1.0.00.00- ATIVO CIRCULANTE"</f>
        <v>1.1.0.00.00- ATIVO CIRCULANTE</v>
      </c>
      <c r="B5" s="9">
        <v>24383478.48</v>
      </c>
      <c r="C5" s="9">
        <v>3804812.99</v>
      </c>
      <c r="D5" s="9">
        <v>28188291.469999999</v>
      </c>
    </row>
    <row r="6" spans="1:4" x14ac:dyDescent="0.3">
      <c r="A6" s="2" t="str">
        <f>"1.1.1.00.00- DISPONIVEL"</f>
        <v>1.1.1.00.00- DISPONIVEL</v>
      </c>
      <c r="B6" s="9">
        <v>16651198.800000001</v>
      </c>
      <c r="C6" s="9">
        <v>3120405</v>
      </c>
      <c r="D6" s="9">
        <v>19771603.800000001</v>
      </c>
    </row>
    <row r="7" spans="1:4" x14ac:dyDescent="0.3">
      <c r="A7" s="2" t="str">
        <f>"1.1.1.02.00- BANCOS C/MOVIMENTO"</f>
        <v>1.1.1.02.00- BANCOS C/MOVIMENTO</v>
      </c>
      <c r="B7" s="9">
        <v>2019.06</v>
      </c>
      <c r="C7" s="9">
        <v>50712.35</v>
      </c>
      <c r="D7" s="9">
        <v>52731.41</v>
      </c>
    </row>
    <row r="8" spans="1:4" x14ac:dyDescent="0.3">
      <c r="A8" s="2" t="str">
        <f>"1.1.1.02.31- Caixa Econômica Federal - 94511-6 - ROT"</f>
        <v>1.1.1.02.31- Caixa Econômica Federal - 94511-6 - ROT</v>
      </c>
      <c r="B8" s="9">
        <v>2019.06</v>
      </c>
      <c r="C8" s="9">
        <v>50712.35</v>
      </c>
      <c r="D8" s="9">
        <v>52731.41</v>
      </c>
    </row>
    <row r="9" spans="1:4" x14ac:dyDescent="0.3">
      <c r="A9" s="2" t="str">
        <f>"1.1.1.03.00- APLICACOES FINANCEIRAS"</f>
        <v>1.1.1.03.00- APLICACOES FINANCEIRAS</v>
      </c>
      <c r="B9" s="9">
        <v>15070181.210000001</v>
      </c>
      <c r="C9" s="9">
        <v>2853872.34</v>
      </c>
      <c r="D9" s="9">
        <v>17924053.550000001</v>
      </c>
    </row>
    <row r="10" spans="1:4" x14ac:dyDescent="0.3">
      <c r="A10" s="2" t="str">
        <f>"1.1.1.03.22- Caixa Econômica Federal - 94505-1"</f>
        <v>1.1.1.03.22- Caixa Econômica Federal - 94505-1</v>
      </c>
      <c r="B10" s="9">
        <v>5089659.57</v>
      </c>
      <c r="C10" s="9">
        <v>-1979423.08</v>
      </c>
      <c r="D10" s="9">
        <v>3110236.49</v>
      </c>
    </row>
    <row r="11" spans="1:4" x14ac:dyDescent="0.3">
      <c r="A11" s="2" t="str">
        <f>"1.1.1.03.23- Caixa Econômica Federal - 94506-0"</f>
        <v>1.1.1.03.23- Caixa Econômica Federal - 94506-0</v>
      </c>
      <c r="B11" s="9">
        <v>9692630.6500000004</v>
      </c>
      <c r="C11" s="9">
        <v>4830376.7</v>
      </c>
      <c r="D11" s="9">
        <v>14523007.35</v>
      </c>
    </row>
    <row r="12" spans="1:4" x14ac:dyDescent="0.3">
      <c r="A12" s="2" t="str">
        <f>"1.1.1.03.32- Caixa Econômica Federal - 94513-2 Mídia"</f>
        <v>1.1.1.03.32- Caixa Econômica Federal - 94513-2 Mídia</v>
      </c>
      <c r="B12" s="9">
        <v>131242.43</v>
      </c>
      <c r="C12" s="9">
        <v>1336.23</v>
      </c>
      <c r="D12" s="9">
        <v>132578.66</v>
      </c>
    </row>
    <row r="13" spans="1:4" x14ac:dyDescent="0.3">
      <c r="A13" s="2" t="str">
        <f>"1.1.1.03.36- Caixa Econômica Federal - 94528-0 Sucumb"</f>
        <v>1.1.1.03.36- Caixa Econômica Federal - 94528-0 Sucumb</v>
      </c>
      <c r="B13" s="9">
        <v>143254.16</v>
      </c>
      <c r="C13" s="9">
        <v>1387.55</v>
      </c>
      <c r="D13" s="9">
        <v>144641.71</v>
      </c>
    </row>
    <row r="14" spans="1:4" x14ac:dyDescent="0.3">
      <c r="A14" s="2" t="str">
        <f>"1.1.1.03.49- Caixa Econômica Federal - 744797076-0"</f>
        <v>1.1.1.03.49- Caixa Econômica Federal - 744797076-0</v>
      </c>
      <c r="B14" s="9">
        <v>13394.4</v>
      </c>
      <c r="C14" s="9">
        <v>194.94</v>
      </c>
      <c r="D14" s="9">
        <v>13589.34</v>
      </c>
    </row>
    <row r="15" spans="1:4" x14ac:dyDescent="0.3">
      <c r="A15" s="2" t="str">
        <f>"1.1.1.04.00- BANCOS C/VINCULADA"</f>
        <v>1.1.1.04.00- BANCOS C/VINCULADA</v>
      </c>
      <c r="B15" s="9">
        <v>1578998.53</v>
      </c>
      <c r="C15" s="9">
        <v>15820.31</v>
      </c>
      <c r="D15" s="9">
        <v>1594818.84</v>
      </c>
    </row>
    <row r="16" spans="1:4" x14ac:dyDescent="0.3">
      <c r="A16" s="2" t="str">
        <f>"1.1.1.04.10- Caixa Econômica Federal - 94521-3 Caução"</f>
        <v>1.1.1.04.10- Caixa Econômica Federal - 94521-3 Caução</v>
      </c>
      <c r="B16" s="9">
        <v>142837.42000000001</v>
      </c>
      <c r="C16" s="9">
        <v>1415.27</v>
      </c>
      <c r="D16" s="9">
        <v>144252.69</v>
      </c>
    </row>
    <row r="17" spans="1:4" x14ac:dyDescent="0.3">
      <c r="A17" s="2" t="str">
        <f>"1.1.1.04.12- Caixa Econômica Federal - 94627-9 Leilão"</f>
        <v>1.1.1.04.12- Caixa Econômica Federal - 94627-9 Leilão</v>
      </c>
      <c r="B17" s="9">
        <v>1436161.11</v>
      </c>
      <c r="C17" s="9">
        <v>14405.04</v>
      </c>
      <c r="D17" s="9">
        <v>1450566.15</v>
      </c>
    </row>
    <row r="18" spans="1:4" x14ac:dyDescent="0.3">
      <c r="A18" s="2" t="str">
        <f>"1.1.1.05.00- BANCOS C/VINCULAD-CONVENIO"</f>
        <v>1.1.1.05.00- BANCOS C/VINCULAD-CONVENIO</v>
      </c>
      <c r="B18" s="9">
        <v>0</v>
      </c>
      <c r="C18" s="9">
        <v>200000</v>
      </c>
      <c r="D18" s="9">
        <v>200000</v>
      </c>
    </row>
    <row r="19" spans="1:4" x14ac:dyDescent="0.3">
      <c r="A19" s="2" t="str">
        <f>"1.1.1.05.29- Projeto Vida no Trânsito 576371382-2 APL"</f>
        <v>1.1.1.05.29- Projeto Vida no Trânsito 576371382-2 APL</v>
      </c>
      <c r="B19" s="9">
        <v>0</v>
      </c>
      <c r="C19" s="9">
        <v>200000</v>
      </c>
      <c r="D19" s="9">
        <v>200000</v>
      </c>
    </row>
    <row r="20" spans="1:4" x14ac:dyDescent="0.3">
      <c r="A20" s="2" t="str">
        <f>"1.1.2.00.00- REALIZAVEL A CURTO PRAZO"</f>
        <v>1.1.2.00.00- REALIZAVEL A CURTO PRAZO</v>
      </c>
      <c r="B20" s="9">
        <v>7732279.6799999997</v>
      </c>
      <c r="C20" s="9">
        <v>684407.99</v>
      </c>
      <c r="D20" s="9">
        <v>8416687.6699999999</v>
      </c>
    </row>
    <row r="21" spans="1:4" x14ac:dyDescent="0.3">
      <c r="A21" s="2" t="str">
        <f>"1.1.2.01.00- CONTAS A RECEBER"</f>
        <v>1.1.2.01.00- CONTAS A RECEBER</v>
      </c>
      <c r="B21" s="9">
        <v>253567.34</v>
      </c>
      <c r="C21" s="9">
        <v>0</v>
      </c>
      <c r="D21" s="9">
        <v>253567.34</v>
      </c>
    </row>
    <row r="22" spans="1:4" x14ac:dyDescent="0.3">
      <c r="A22" s="2" t="str">
        <f>"1.1.2.01.94- Midia Onibus a Receber"</f>
        <v>1.1.2.01.94- Midia Onibus a Receber</v>
      </c>
      <c r="B22" s="9">
        <v>253567.34</v>
      </c>
      <c r="C22" s="9">
        <v>0</v>
      </c>
      <c r="D22" s="9">
        <v>253567.34</v>
      </c>
    </row>
    <row r="23" spans="1:4" x14ac:dyDescent="0.3">
      <c r="A23" s="2" t="str">
        <f>"1.1.2.06.00- ADIANTAMENTO A EMPREGADOS"</f>
        <v>1.1.2.06.00- ADIANTAMENTO A EMPREGADOS</v>
      </c>
      <c r="B23" s="9">
        <v>2519538.88</v>
      </c>
      <c r="C23" s="9">
        <v>166361.25</v>
      </c>
      <c r="D23" s="9">
        <v>2685900.13</v>
      </c>
    </row>
    <row r="24" spans="1:4" x14ac:dyDescent="0.3">
      <c r="A24" s="2" t="str">
        <f>"1.1.2.06.01- Adiantamento de Ferias"</f>
        <v>1.1.2.06.01- Adiantamento de Ferias</v>
      </c>
      <c r="B24" s="9">
        <v>1051065.81</v>
      </c>
      <c r="C24" s="9">
        <v>48852.21</v>
      </c>
      <c r="D24" s="9">
        <v>1099918.02</v>
      </c>
    </row>
    <row r="25" spans="1:4" x14ac:dyDescent="0.3">
      <c r="A25" s="2" t="str">
        <f>"1.1.2.06.02- Adiantamento de 13. Salario"</f>
        <v>1.1.2.06.02- Adiantamento de 13. Salario</v>
      </c>
      <c r="B25" s="9">
        <v>1289207.54</v>
      </c>
      <c r="C25" s="9">
        <v>205265.31</v>
      </c>
      <c r="D25" s="9">
        <v>1494472.85</v>
      </c>
    </row>
    <row r="26" spans="1:4" x14ac:dyDescent="0.3">
      <c r="A26" s="2" t="str">
        <f>"1.1.2.06.03- Adiant. de Salario/Parc. Ferias"</f>
        <v>1.1.2.06.03- Adiant. de Salario/Parc. Ferias</v>
      </c>
      <c r="B26" s="9">
        <v>171072.81</v>
      </c>
      <c r="C26" s="9">
        <v>-82279.02</v>
      </c>
      <c r="D26" s="9">
        <v>88793.79</v>
      </c>
    </row>
    <row r="27" spans="1:4" x14ac:dyDescent="0.3">
      <c r="A27" s="2" t="str">
        <f>"1.1.2.06.07- Adiantamento Pensao s/ Ferias"</f>
        <v>1.1.2.06.07- Adiantamento Pensao s/ Ferias</v>
      </c>
      <c r="B27" s="9">
        <v>8192.7199999999993</v>
      </c>
      <c r="C27" s="9">
        <v>-5477.25</v>
      </c>
      <c r="D27" s="9">
        <v>2715.47</v>
      </c>
    </row>
    <row r="28" spans="1:4" x14ac:dyDescent="0.3">
      <c r="A28" s="2" t="str">
        <f>"1.1.2.08.00- ALMOXARIFADO"</f>
        <v>1.1.2.08.00- ALMOXARIFADO</v>
      </c>
      <c r="B28" s="9">
        <v>545733.87</v>
      </c>
      <c r="C28" s="9">
        <v>31327.73</v>
      </c>
      <c r="D28" s="9">
        <v>577061.6</v>
      </c>
    </row>
    <row r="29" spans="1:4" x14ac:dyDescent="0.3">
      <c r="A29" s="2" t="str">
        <f>"1.1.2.08.01- Material em Estoque"</f>
        <v>1.1.2.08.01- Material em Estoque</v>
      </c>
      <c r="B29" s="9">
        <v>545733.87</v>
      </c>
      <c r="C29" s="9">
        <v>31349.3</v>
      </c>
      <c r="D29" s="9">
        <v>577083.17000000004</v>
      </c>
    </row>
    <row r="30" spans="1:4" x14ac:dyDescent="0.3">
      <c r="A30" s="2" t="str">
        <f>"1.1.2.08.99- Ajuste de Preco Medio"</f>
        <v>1.1.2.08.99- Ajuste de Preco Medio</v>
      </c>
      <c r="B30" s="9">
        <v>0</v>
      </c>
      <c r="C30" s="9">
        <v>-21.57</v>
      </c>
      <c r="D30" s="9">
        <v>-21.57</v>
      </c>
    </row>
    <row r="31" spans="1:4" x14ac:dyDescent="0.3">
      <c r="A31" s="2" t="str">
        <f>"1.1.2.10.00- IMPOSTOS E CONTRIB.A RECUPERAR"</f>
        <v>1.1.2.10.00- IMPOSTOS E CONTRIB.A RECUPERAR</v>
      </c>
      <c r="B31" s="9">
        <v>4949093.3899999997</v>
      </c>
      <c r="C31" s="9">
        <v>37545.15</v>
      </c>
      <c r="D31" s="9">
        <v>4986638.54</v>
      </c>
    </row>
    <row r="32" spans="1:4" x14ac:dyDescent="0.3">
      <c r="A32" s="2" t="str">
        <f>"1.1.2.10.01- IR s/Aplicacao Financeira"</f>
        <v>1.1.2.10.01- IR s/Aplicacao Financeira</v>
      </c>
      <c r="B32" s="9">
        <v>475569.16</v>
      </c>
      <c r="C32" s="9">
        <v>77729.19</v>
      </c>
      <c r="D32" s="9">
        <v>553298.35</v>
      </c>
    </row>
    <row r="33" spans="1:4" x14ac:dyDescent="0.3">
      <c r="A33" s="2" t="str">
        <f>"1.1.2.10.15- Cofins a Compensar"</f>
        <v>1.1.2.10.15- Cofins a Compensar</v>
      </c>
      <c r="B33" s="9">
        <v>3664782.21</v>
      </c>
      <c r="C33" s="9">
        <v>-33331.85</v>
      </c>
      <c r="D33" s="9">
        <v>3631450.36</v>
      </c>
    </row>
    <row r="34" spans="1:4" x14ac:dyDescent="0.3">
      <c r="A34" s="2" t="str">
        <f>"1.1.2.10.16- PIS a Compensar"</f>
        <v>1.1.2.10.16- PIS a Compensar</v>
      </c>
      <c r="B34" s="9">
        <v>808742.02</v>
      </c>
      <c r="C34" s="9">
        <v>-6852.19</v>
      </c>
      <c r="D34" s="9">
        <v>801889.83</v>
      </c>
    </row>
    <row r="35" spans="1:4" x14ac:dyDescent="0.3">
      <c r="A35" s="2" t="str">
        <f>"1.1.2.11.00- DESPESAS ANTECIPADAS"</f>
        <v>1.1.2.11.00- DESPESAS ANTECIPADAS</v>
      </c>
      <c r="B35" s="9">
        <v>7322.87</v>
      </c>
      <c r="C35" s="9">
        <v>282.58999999999997</v>
      </c>
      <c r="D35" s="9">
        <v>7605.46</v>
      </c>
    </row>
    <row r="36" spans="1:4" x14ac:dyDescent="0.3">
      <c r="A36" s="2" t="str">
        <f>"1.1.2.11.01- Premios de Seguros a Vencer"</f>
        <v>1.1.2.11.01- Premios de Seguros a Vencer</v>
      </c>
      <c r="B36" s="9">
        <v>7322.87</v>
      </c>
      <c r="C36" s="9">
        <v>282.58999999999997</v>
      </c>
      <c r="D36" s="9">
        <v>7605.46</v>
      </c>
    </row>
    <row r="37" spans="1:4" x14ac:dyDescent="0.3">
      <c r="A37" s="2" t="str">
        <f>"1.1.2.14.00- CONTAS TRANSITORIAS - GRUPO ATIVO"</f>
        <v>1.1.2.14.00- CONTAS TRANSITORIAS - GRUPO ATIVO</v>
      </c>
      <c r="B37" s="9">
        <v>-542976.67000000004</v>
      </c>
      <c r="C37" s="9">
        <v>448891.27</v>
      </c>
      <c r="D37" s="9">
        <v>-94085.4</v>
      </c>
    </row>
    <row r="38" spans="1:4" x14ac:dyDescent="0.3">
      <c r="A38" s="2" t="str">
        <f>"1.1.2.14.07- Transitoria de Imposto"</f>
        <v>1.1.2.14.07- Transitoria de Imposto</v>
      </c>
      <c r="B38" s="9">
        <v>-542976.67000000004</v>
      </c>
      <c r="C38" s="9">
        <v>448891.27</v>
      </c>
      <c r="D38" s="9">
        <v>-94085.4</v>
      </c>
    </row>
    <row r="39" spans="1:4" x14ac:dyDescent="0.3">
      <c r="A39" s="2" t="str">
        <f>"1.2.0.00.00- ATIVO NAO CIRCULANTE"</f>
        <v>1.2.0.00.00- ATIVO NAO CIRCULANTE</v>
      </c>
      <c r="B39" s="9">
        <v>33997798.640000001</v>
      </c>
      <c r="C39" s="9">
        <v>-3559.42</v>
      </c>
      <c r="D39" s="9">
        <v>33994239.219999999</v>
      </c>
    </row>
    <row r="40" spans="1:4" x14ac:dyDescent="0.3">
      <c r="A40" s="2" t="str">
        <f>"1.2.1.00.00- REALIZAVEL A LONGO PRAZO"</f>
        <v>1.2.1.00.00- REALIZAVEL A LONGO PRAZO</v>
      </c>
      <c r="B40" s="9">
        <v>32729379.16</v>
      </c>
      <c r="C40" s="9">
        <v>23133.46</v>
      </c>
      <c r="D40" s="9">
        <v>32752512.620000001</v>
      </c>
    </row>
    <row r="41" spans="1:4" x14ac:dyDescent="0.3">
      <c r="A41" s="2" t="str">
        <f>"1.2.1.01.00- CREDITOS E VALORES A RECEBER"</f>
        <v>1.2.1.01.00- CREDITOS E VALORES A RECEBER</v>
      </c>
      <c r="B41" s="9">
        <v>32729379.16</v>
      </c>
      <c r="C41" s="9">
        <v>23133.46</v>
      </c>
      <c r="D41" s="9">
        <v>32752512.620000001</v>
      </c>
    </row>
    <row r="42" spans="1:4" x14ac:dyDescent="0.3">
      <c r="A42" s="2" t="str">
        <f>"1.2.1.01.01- Depositos Judiciais"</f>
        <v>1.2.1.01.01- Depositos Judiciais</v>
      </c>
      <c r="B42" s="9">
        <v>669908.63</v>
      </c>
      <c r="C42" s="9">
        <v>23133.46</v>
      </c>
      <c r="D42" s="9">
        <v>693042.09</v>
      </c>
    </row>
    <row r="43" spans="1:4" x14ac:dyDescent="0.3">
      <c r="A43" s="2" t="str">
        <f>"1.2.1.01.04- Convenio Prefeitura Betim"</f>
        <v>1.2.1.01.04- Convenio Prefeitura Betim</v>
      </c>
      <c r="B43" s="9">
        <v>891.18</v>
      </c>
      <c r="C43" s="9">
        <v>0</v>
      </c>
      <c r="D43" s="9">
        <v>891.18</v>
      </c>
    </row>
    <row r="44" spans="1:4" x14ac:dyDescent="0.3">
      <c r="A44" s="2" t="str">
        <f>"1.2.1.01.05- Convenio IPSEMG"</f>
        <v>1.2.1.01.05- Convenio IPSEMG</v>
      </c>
      <c r="B44" s="9">
        <v>21163.53</v>
      </c>
      <c r="C44" s="9">
        <v>0</v>
      </c>
      <c r="D44" s="9">
        <v>21163.53</v>
      </c>
    </row>
    <row r="45" spans="1:4" x14ac:dyDescent="0.3">
      <c r="A45" s="2" t="str">
        <f>"1.2.1.01.06- Multas Transporte Coletivo"</f>
        <v>1.2.1.01.06- Multas Transporte Coletivo</v>
      </c>
      <c r="B45" s="9">
        <v>40046769.780000001</v>
      </c>
      <c r="C45" s="9">
        <v>0</v>
      </c>
      <c r="D45" s="9">
        <v>40046769.780000001</v>
      </c>
    </row>
    <row r="46" spans="1:4" x14ac:dyDescent="0.3">
      <c r="A46" s="2" t="str">
        <f>"1.2.1.01.07- (-) Provisao para Perdas"</f>
        <v>1.2.1.01.07- (-) Provisao para Perdas</v>
      </c>
      <c r="B46" s="9">
        <v>-8009353.96</v>
      </c>
      <c r="C46" s="9">
        <v>0</v>
      </c>
      <c r="D46" s="9">
        <v>-8009353.96</v>
      </c>
    </row>
    <row r="47" spans="1:4" x14ac:dyDescent="0.3">
      <c r="A47" s="2" t="str">
        <f>"1.3.1.00.00- INVESTIMENTOS"</f>
        <v>1.3.1.00.00- INVESTIMENTOS</v>
      </c>
      <c r="B47" s="9">
        <v>26152.19</v>
      </c>
      <c r="C47" s="9">
        <v>0</v>
      </c>
      <c r="D47" s="9">
        <v>26152.19</v>
      </c>
    </row>
    <row r="48" spans="1:4" x14ac:dyDescent="0.3">
      <c r="A48" s="2" t="str">
        <f>"1.3.1.01.00- OUTROS INVESTIMENTOS"</f>
        <v>1.3.1.01.00- OUTROS INVESTIMENTOS</v>
      </c>
      <c r="B48" s="9">
        <v>26152.19</v>
      </c>
      <c r="C48" s="9">
        <v>0</v>
      </c>
      <c r="D48" s="9">
        <v>26152.19</v>
      </c>
    </row>
    <row r="49" spans="1:4" x14ac:dyDescent="0.3">
      <c r="A49" s="2" t="str">
        <f>"1.3.1.01.01- Obras de Arte"</f>
        <v>1.3.1.01.01- Obras de Arte</v>
      </c>
      <c r="B49" s="9">
        <v>25200</v>
      </c>
      <c r="C49" s="9">
        <v>0</v>
      </c>
      <c r="D49" s="9">
        <v>25200</v>
      </c>
    </row>
    <row r="50" spans="1:4" x14ac:dyDescent="0.3">
      <c r="A50" s="2" t="str">
        <f>"1.3.1.01.02- Participações Societárias - PBH ATIVOS"</f>
        <v>1.3.1.01.02- Participações Societárias - PBH ATIVOS</v>
      </c>
      <c r="B50" s="9">
        <v>952.19</v>
      </c>
      <c r="C50" s="9">
        <v>0</v>
      </c>
      <c r="D50" s="9">
        <v>952.19</v>
      </c>
    </row>
    <row r="51" spans="1:4" x14ac:dyDescent="0.3">
      <c r="A51" s="2" t="str">
        <f>"1.3.2.00.00- IMOBILIZADO"</f>
        <v>1.3.2.00.00- IMOBILIZADO</v>
      </c>
      <c r="B51" s="9">
        <v>6895858.3499999996</v>
      </c>
      <c r="C51" s="9">
        <v>-62533.25</v>
      </c>
      <c r="D51" s="9">
        <v>6833325.0999999996</v>
      </c>
    </row>
    <row r="52" spans="1:4" x14ac:dyDescent="0.3">
      <c r="A52" s="2" t="str">
        <f>"1.3.2.01.01- Maquinas e equipamentos"</f>
        <v>1.3.2.01.01- Maquinas e equipamentos</v>
      </c>
      <c r="B52" s="9">
        <v>259352.63</v>
      </c>
      <c r="C52" s="9">
        <v>-16265.54</v>
      </c>
      <c r="D52" s="9">
        <v>243087.09</v>
      </c>
    </row>
    <row r="53" spans="1:4" x14ac:dyDescent="0.3">
      <c r="A53" s="2" t="str">
        <f>"1.3.2.02.01- Ferramentas"</f>
        <v>1.3.2.02.01- Ferramentas</v>
      </c>
      <c r="B53" s="9">
        <v>8159.81</v>
      </c>
      <c r="C53" s="9">
        <v>0</v>
      </c>
      <c r="D53" s="9">
        <v>8159.81</v>
      </c>
    </row>
    <row r="54" spans="1:4" x14ac:dyDescent="0.3">
      <c r="A54" s="2" t="str">
        <f>"1.3.2.03.01- Equipamentos de comunicacao"</f>
        <v>1.3.2.03.01- Equipamentos de comunicacao</v>
      </c>
      <c r="B54" s="9">
        <v>638718.06999999995</v>
      </c>
      <c r="C54" s="9">
        <v>-2521.42</v>
      </c>
      <c r="D54" s="9">
        <v>636196.65</v>
      </c>
    </row>
    <row r="55" spans="1:4" x14ac:dyDescent="0.3">
      <c r="A55" s="2" t="str">
        <f>"1.3.2.04.01- Instalacoes"</f>
        <v>1.3.2.04.01- Instalacoes</v>
      </c>
      <c r="B55" s="9">
        <v>89886.56</v>
      </c>
      <c r="C55" s="9">
        <v>0</v>
      </c>
      <c r="D55" s="9">
        <v>89886.56</v>
      </c>
    </row>
    <row r="56" spans="1:4" x14ac:dyDescent="0.3">
      <c r="A56" s="2" t="str">
        <f>"1.3.2.06.01- Moveis e utensilios"</f>
        <v>1.3.2.06.01- Moveis e utensilios</v>
      </c>
      <c r="B56" s="9">
        <v>453302.85</v>
      </c>
      <c r="C56" s="9">
        <v>-4692.24</v>
      </c>
      <c r="D56" s="9">
        <v>448610.61</v>
      </c>
    </row>
    <row r="57" spans="1:4" x14ac:dyDescent="0.3">
      <c r="A57" s="2" t="str">
        <f>"1.3.2.08.01- Instalacoes administrativas"</f>
        <v>1.3.2.08.01- Instalacoes administrativas</v>
      </c>
      <c r="B57" s="9">
        <v>98491.4</v>
      </c>
      <c r="C57" s="9">
        <v>0</v>
      </c>
      <c r="D57" s="9">
        <v>98491.4</v>
      </c>
    </row>
    <row r="58" spans="1:4" x14ac:dyDescent="0.3">
      <c r="A58" s="2" t="str">
        <f>"1.3.2.09.01- Aparelhos/equipamentos diversos"</f>
        <v>1.3.2.09.01- Aparelhos/equipamentos diversos</v>
      </c>
      <c r="B58" s="9">
        <v>631083.07999999996</v>
      </c>
      <c r="C58" s="9">
        <v>-10272.15</v>
      </c>
      <c r="D58" s="9">
        <v>620810.93000000005</v>
      </c>
    </row>
    <row r="59" spans="1:4" x14ac:dyDescent="0.3">
      <c r="A59" s="2" t="str">
        <f>"1.3.2.10.01- Equip. p/ processamento de dados"</f>
        <v>1.3.2.10.01- Equip. p/ processamento de dados</v>
      </c>
      <c r="B59" s="9">
        <v>1494365.77</v>
      </c>
      <c r="C59" s="9">
        <v>0</v>
      </c>
      <c r="D59" s="9">
        <v>1494365.77</v>
      </c>
    </row>
    <row r="60" spans="1:4" x14ac:dyDescent="0.3">
      <c r="A60" s="2" t="str">
        <f>"1.3.2.12.01- Micros/impressoras e acessorios"</f>
        <v>1.3.2.12.01- Micros/impressoras e acessorios</v>
      </c>
      <c r="B60" s="9">
        <v>1450152.26</v>
      </c>
      <c r="C60" s="9">
        <v>-28781.9</v>
      </c>
      <c r="D60" s="9">
        <v>1421370.36</v>
      </c>
    </row>
    <row r="61" spans="1:4" x14ac:dyDescent="0.3">
      <c r="A61" s="2" t="str">
        <f>"1.3.2.13.01- Imobilizacao em imoveis de terceiros"</f>
        <v>1.3.2.13.01- Imobilizacao em imoveis de terceiros</v>
      </c>
      <c r="B61" s="9">
        <v>609961.46</v>
      </c>
      <c r="C61" s="9">
        <v>0</v>
      </c>
      <c r="D61" s="9">
        <v>609961.46</v>
      </c>
    </row>
    <row r="62" spans="1:4" x14ac:dyDescent="0.3">
      <c r="A62" s="2" t="str">
        <f>"1.3.2.14.01- Estacao Diamante"</f>
        <v>1.3.2.14.01- Estacao Diamante</v>
      </c>
      <c r="B62" s="9">
        <v>1162384.46</v>
      </c>
      <c r="C62" s="9">
        <v>0</v>
      </c>
      <c r="D62" s="9">
        <v>1162384.46</v>
      </c>
    </row>
    <row r="63" spans="1:4" x14ac:dyDescent="0.3">
      <c r="A63" s="2" t="str">
        <f>"1.3.3.00.00- INTANGIVEL"</f>
        <v>1.3.3.00.00- INTANGIVEL</v>
      </c>
      <c r="B63" s="9">
        <v>37558</v>
      </c>
      <c r="C63" s="9">
        <v>0</v>
      </c>
      <c r="D63" s="9">
        <v>37558</v>
      </c>
    </row>
    <row r="64" spans="1:4" x14ac:dyDescent="0.3">
      <c r="A64" s="2" t="str">
        <f>"1.3.3.03.00- MARCAS E PATENTES"</f>
        <v>1.3.3.03.00- MARCAS E PATENTES</v>
      </c>
      <c r="B64" s="9">
        <v>808</v>
      </c>
      <c r="C64" s="9">
        <v>0</v>
      </c>
      <c r="D64" s="9">
        <v>808</v>
      </c>
    </row>
    <row r="65" spans="1:4" x14ac:dyDescent="0.3">
      <c r="A65" s="2" t="str">
        <f>"1.3.3.03.01- Marcas e Patentes"</f>
        <v>1.3.3.03.01- Marcas e Patentes</v>
      </c>
      <c r="B65" s="9">
        <v>808</v>
      </c>
      <c r="C65" s="9">
        <v>0</v>
      </c>
      <c r="D65" s="9">
        <v>808</v>
      </c>
    </row>
    <row r="66" spans="1:4" x14ac:dyDescent="0.3">
      <c r="A66" s="2" t="str">
        <f>"1.3.3.04.01- Programas e Sistemas"</f>
        <v>1.3.3.04.01- Programas e Sistemas</v>
      </c>
      <c r="B66" s="9">
        <v>36750</v>
      </c>
      <c r="C66" s="9">
        <v>0</v>
      </c>
      <c r="D66" s="9">
        <v>36750</v>
      </c>
    </row>
    <row r="67" spans="1:4" x14ac:dyDescent="0.3">
      <c r="A67" s="2" t="str">
        <f>"1.3.5.00.00- ( - )DEPRECIACAO E AMORTIZACAO"</f>
        <v>1.3.5.00.00- ( - )DEPRECIACAO E AMORTIZACAO</v>
      </c>
      <c r="B67" s="9">
        <v>-5691149.0599999996</v>
      </c>
      <c r="C67" s="9">
        <v>35840.370000000003</v>
      </c>
      <c r="D67" s="9">
        <v>-5655308.6900000004</v>
      </c>
    </row>
    <row r="68" spans="1:4" x14ac:dyDescent="0.3">
      <c r="A68" s="2" t="str">
        <f>"1.3.5.01.00- ( - ) DEPRECIACAO E AMORTIZACAO"</f>
        <v>1.3.5.01.00- ( - ) DEPRECIACAO E AMORTIZACAO</v>
      </c>
      <c r="B68" s="9">
        <v>-5691149.0599999996</v>
      </c>
      <c r="C68" s="9">
        <v>35840.370000000003</v>
      </c>
      <c r="D68" s="9">
        <v>-5655308.6900000004</v>
      </c>
    </row>
    <row r="69" spans="1:4" x14ac:dyDescent="0.3">
      <c r="A69" s="2" t="str">
        <f>"1.3.5.01.01- ( - ) Moveis e Utensilios"</f>
        <v>1.3.5.01.01- ( - ) Moveis e Utensilios</v>
      </c>
      <c r="B69" s="9">
        <v>-430727.97</v>
      </c>
      <c r="C69" s="9">
        <v>4387.82</v>
      </c>
      <c r="D69" s="9">
        <v>-426340.15</v>
      </c>
    </row>
    <row r="70" spans="1:4" x14ac:dyDescent="0.3">
      <c r="A70" s="2" t="str">
        <f>"1.3.5.01.02- ( - ) Aparelhos/Equipamentos Diversos"</f>
        <v>1.3.5.01.02- ( - ) Aparelhos/Equipamentos Diversos</v>
      </c>
      <c r="B70" s="9">
        <v>-570857.59</v>
      </c>
      <c r="C70" s="9">
        <v>7801.29</v>
      </c>
      <c r="D70" s="9">
        <v>-563056.30000000005</v>
      </c>
    </row>
    <row r="71" spans="1:4" x14ac:dyDescent="0.3">
      <c r="A71" s="2" t="str">
        <f>"1.3.5.01.03- ( - ) Instalacoes Administrativas"</f>
        <v>1.3.5.01.03- ( - ) Instalacoes Administrativas</v>
      </c>
      <c r="B71" s="9">
        <v>-98491.4</v>
      </c>
      <c r="C71" s="9">
        <v>0</v>
      </c>
      <c r="D71" s="9">
        <v>-98491.4</v>
      </c>
    </row>
    <row r="72" spans="1:4" x14ac:dyDescent="0.3">
      <c r="A72" s="2" t="str">
        <f>"1.3.5.01.05- ( - ) Impressoras e Micros"</f>
        <v>1.3.5.01.05- ( - ) Impressoras e Micros</v>
      </c>
      <c r="B72" s="9">
        <v>-2185203.79</v>
      </c>
      <c r="C72" s="9">
        <v>16094.27</v>
      </c>
      <c r="D72" s="9">
        <v>-2169109.52</v>
      </c>
    </row>
    <row r="73" spans="1:4" x14ac:dyDescent="0.3">
      <c r="A73" s="2" t="str">
        <f>"1.3.5.01.06- ( - ) Maquinas e Equipamentos"</f>
        <v>1.3.5.01.06- ( - ) Maquinas e Equipamentos</v>
      </c>
      <c r="B73" s="9">
        <v>-230730.26</v>
      </c>
      <c r="C73" s="9">
        <v>15246.97</v>
      </c>
      <c r="D73" s="9">
        <v>-215483.29</v>
      </c>
    </row>
    <row r="74" spans="1:4" x14ac:dyDescent="0.3">
      <c r="A74" s="2" t="str">
        <f>"1.3.5.01.07- ( - ) Equipamentos de Comunicacao"</f>
        <v>1.3.5.01.07- ( - ) Equipamentos de Comunicacao</v>
      </c>
      <c r="B74" s="9">
        <v>-499314.47</v>
      </c>
      <c r="C74" s="9">
        <v>-5473.92</v>
      </c>
      <c r="D74" s="9">
        <v>-504788.39</v>
      </c>
    </row>
    <row r="75" spans="1:4" x14ac:dyDescent="0.3">
      <c r="A75" s="2" t="str">
        <f>"1.3.5.01.08- ( - ) Instalacoes Operacionais"</f>
        <v>1.3.5.01.08- ( - ) Instalacoes Operacionais</v>
      </c>
      <c r="B75" s="9">
        <v>-85296.28</v>
      </c>
      <c r="C75" s="9">
        <v>-182.86</v>
      </c>
      <c r="D75" s="9">
        <v>-85479.14</v>
      </c>
    </row>
    <row r="76" spans="1:4" x14ac:dyDescent="0.3">
      <c r="A76" s="2" t="str">
        <f>"1.3.5.01.09- ( - ) Programas (Softwares)"</f>
        <v>1.3.5.01.09- ( - ) Programas (Softwares)</v>
      </c>
      <c r="B76" s="9">
        <v>-36750</v>
      </c>
      <c r="C76" s="9">
        <v>0</v>
      </c>
      <c r="D76" s="9">
        <v>-36750</v>
      </c>
    </row>
    <row r="77" spans="1:4" x14ac:dyDescent="0.3">
      <c r="A77" s="2" t="str">
        <f>"1.3.5.01.14- ( - ) Ferramentas"</f>
        <v>1.3.5.01.14- ( - ) Ferramentas</v>
      </c>
      <c r="B77" s="9">
        <v>-8159.81</v>
      </c>
      <c r="C77" s="9">
        <v>0</v>
      </c>
      <c r="D77" s="9">
        <v>-8159.81</v>
      </c>
    </row>
    <row r="78" spans="1:4" x14ac:dyDescent="0.3">
      <c r="A78" s="2" t="str">
        <f>"1.3.5.01.15- ( - ) Imobilizacoes em Imov. Terceiros"</f>
        <v>1.3.5.01.15- ( - ) Imobilizacoes em Imov. Terceiros</v>
      </c>
      <c r="B78" s="9">
        <v>-1545617.49</v>
      </c>
      <c r="C78" s="9">
        <v>-2033.2</v>
      </c>
      <c r="D78" s="9">
        <v>-1547650.69</v>
      </c>
    </row>
    <row r="79" spans="1:4" x14ac:dyDescent="0.3">
      <c r="A79" s="2" t="str">
        <f>""</f>
        <v/>
      </c>
      <c r="B79" s="3" t="str">
        <f>""</f>
        <v/>
      </c>
      <c r="C79" s="3" t="str">
        <f>""</f>
        <v/>
      </c>
      <c r="D79" s="3" t="str">
        <f>""</f>
        <v/>
      </c>
    </row>
    <row r="80" spans="1:4" x14ac:dyDescent="0.3">
      <c r="A80" s="2" t="str">
        <f>"PASSIVO"</f>
        <v>PASSIVO</v>
      </c>
      <c r="B80" s="3" t="str">
        <f>""</f>
        <v/>
      </c>
      <c r="C80" s="3" t="str">
        <f>""</f>
        <v/>
      </c>
      <c r="D80" s="3" t="str">
        <f>""</f>
        <v/>
      </c>
    </row>
    <row r="81" spans="1:4" x14ac:dyDescent="0.3">
      <c r="A81" s="2" t="str">
        <f>"2.0.0.00.00- PASSIVO"</f>
        <v>2.0.0.00.00- PASSIVO</v>
      </c>
      <c r="B81" s="9">
        <v>58381277.119999997</v>
      </c>
      <c r="C81" s="9">
        <v>3801253.57</v>
      </c>
      <c r="D81" s="9">
        <v>62182530.689999998</v>
      </c>
    </row>
    <row r="82" spans="1:4" x14ac:dyDescent="0.3">
      <c r="A82" s="2" t="str">
        <f>"2.1.0.00.00- PASSIVO CIRCULANTE"</f>
        <v>2.1.0.00.00- PASSIVO CIRCULANTE</v>
      </c>
      <c r="B82" s="9">
        <v>36104159.850000001</v>
      </c>
      <c r="C82" s="9">
        <v>-895769.58</v>
      </c>
      <c r="D82" s="9">
        <v>35208390.270000003</v>
      </c>
    </row>
    <row r="83" spans="1:4" x14ac:dyDescent="0.3">
      <c r="A83" s="2" t="str">
        <f>"2.1.1.00.00- OBRIGACOES COM PESSOAL"</f>
        <v>2.1.1.00.00- OBRIGACOES COM PESSOAL</v>
      </c>
      <c r="B83" s="9">
        <v>19370556.620000001</v>
      </c>
      <c r="C83" s="9">
        <v>-571177.84</v>
      </c>
      <c r="D83" s="9">
        <v>18799378.780000001</v>
      </c>
    </row>
    <row r="84" spans="1:4" x14ac:dyDescent="0.3">
      <c r="A84" s="2" t="str">
        <f>"2.1.1.01.00- SALARIOS A PAGAR"</f>
        <v>2.1.1.01.00- SALARIOS A PAGAR</v>
      </c>
      <c r="B84" s="9">
        <v>19370556.620000001</v>
      </c>
      <c r="C84" s="9">
        <v>-571177.84</v>
      </c>
      <c r="D84" s="9">
        <v>18799378.780000001</v>
      </c>
    </row>
    <row r="85" spans="1:4" x14ac:dyDescent="0.3">
      <c r="A85" s="2" t="str">
        <f>"2.1.1.01.01- Salarios a Pagar"</f>
        <v>2.1.1.01.01- Salarios a Pagar</v>
      </c>
      <c r="B85" s="9">
        <v>6184397.7000000002</v>
      </c>
      <c r="C85" s="9">
        <v>-1199179.73</v>
      </c>
      <c r="D85" s="9">
        <v>4985217.97</v>
      </c>
    </row>
    <row r="86" spans="1:4" x14ac:dyDescent="0.3">
      <c r="A86" s="2" t="str">
        <f>"2.1.1.01.02- Provisão 13º Salário"</f>
        <v>2.1.1.01.02- Provisão 13º Salário</v>
      </c>
      <c r="B86" s="9">
        <v>2106237.65</v>
      </c>
      <c r="C86" s="9">
        <v>646996.6</v>
      </c>
      <c r="D86" s="9">
        <v>2753234.25</v>
      </c>
    </row>
    <row r="87" spans="1:4" x14ac:dyDescent="0.3">
      <c r="A87" s="2" t="str">
        <f>"2.1.1.01.03- Ferias a pagar"</f>
        <v>2.1.1.01.03- Ferias a pagar</v>
      </c>
      <c r="B87" s="9">
        <v>180796.54</v>
      </c>
      <c r="C87" s="9">
        <v>-46167.45</v>
      </c>
      <c r="D87" s="9">
        <v>134629.09</v>
      </c>
    </row>
    <row r="88" spans="1:4" x14ac:dyDescent="0.3">
      <c r="A88" s="2" t="str">
        <f>"2.1.1.01.05- Rescisoes a Pagar"</f>
        <v>2.1.1.01.05- Rescisoes a Pagar</v>
      </c>
      <c r="B88" s="9">
        <v>0</v>
      </c>
      <c r="C88" s="9">
        <v>2163.19</v>
      </c>
      <c r="D88" s="9">
        <v>2163.19</v>
      </c>
    </row>
    <row r="89" spans="1:4" x14ac:dyDescent="0.3">
      <c r="A89" s="2" t="str">
        <f>"2.1.1.01.09- Provisao de Ferias"</f>
        <v>2.1.1.01.09- Provisao de Ferias</v>
      </c>
      <c r="B89" s="9">
        <v>10802198.529999999</v>
      </c>
      <c r="C89" s="9">
        <v>44464.88</v>
      </c>
      <c r="D89" s="9">
        <v>10846663.41</v>
      </c>
    </row>
    <row r="90" spans="1:4" x14ac:dyDescent="0.3">
      <c r="A90" s="2" t="str">
        <f>"2.1.1.01.12- Pensão Judicial"</f>
        <v>2.1.1.01.12- Pensão Judicial</v>
      </c>
      <c r="B90" s="9">
        <v>96926.2</v>
      </c>
      <c r="C90" s="9">
        <v>-19455.330000000002</v>
      </c>
      <c r="D90" s="9">
        <v>77470.87</v>
      </c>
    </row>
    <row r="91" spans="1:4" x14ac:dyDescent="0.3">
      <c r="A91" s="2" t="str">
        <f>"2.1.2.00.00- OBRIGACOES SOCIAIS A CURTO PRAZO"</f>
        <v>2.1.2.00.00- OBRIGACOES SOCIAIS A CURTO PRAZO</v>
      </c>
      <c r="B91" s="9">
        <v>9506721.6899999995</v>
      </c>
      <c r="C91" s="9">
        <v>-522394.07</v>
      </c>
      <c r="D91" s="9">
        <v>8984327.6199999992</v>
      </c>
    </row>
    <row r="92" spans="1:4" x14ac:dyDescent="0.3">
      <c r="A92" s="2" t="str">
        <f>"2.1.2.01.00- OBRIGACOES SOCIAIS A RECOLHER"</f>
        <v>2.1.2.01.00- OBRIGACOES SOCIAIS A RECOLHER</v>
      </c>
      <c r="B92" s="9">
        <v>9506721.6899999995</v>
      </c>
      <c r="C92" s="9">
        <v>-522394.07</v>
      </c>
      <c r="D92" s="9">
        <v>8984327.6199999992</v>
      </c>
    </row>
    <row r="93" spans="1:4" x14ac:dyDescent="0.3">
      <c r="A93" s="2" t="str">
        <f>"2.1.2.01.01- INSS a recolher s/Folha Pagto"</f>
        <v>2.1.2.01.01- INSS a recolher s/Folha Pagto</v>
      </c>
      <c r="B93" s="9">
        <v>3561913.39</v>
      </c>
      <c r="C93" s="9">
        <v>-535977.22</v>
      </c>
      <c r="D93" s="9">
        <v>3025936.17</v>
      </c>
    </row>
    <row r="94" spans="1:4" x14ac:dyDescent="0.3">
      <c r="A94" s="2" t="str">
        <f>"2.1.2.01.02- FGTS a recolher s/Folha Pagto"</f>
        <v>2.1.2.01.02- FGTS a recolher s/Folha Pagto</v>
      </c>
      <c r="B94" s="9">
        <v>817112.29</v>
      </c>
      <c r="C94" s="9">
        <v>-151365.17000000001</v>
      </c>
      <c r="D94" s="9">
        <v>665747.12</v>
      </c>
    </row>
    <row r="95" spans="1:4" x14ac:dyDescent="0.3">
      <c r="A95" s="2" t="str">
        <f>"2.1.2.01.05- Contribuicao Sindical"</f>
        <v>2.1.2.01.05- Contribuicao Sindical</v>
      </c>
      <c r="B95" s="9">
        <v>9228.34</v>
      </c>
      <c r="C95" s="9">
        <v>-260.36</v>
      </c>
      <c r="D95" s="9">
        <v>8967.98</v>
      </c>
    </row>
    <row r="96" spans="1:4" x14ac:dyDescent="0.3">
      <c r="A96" s="2" t="str">
        <f>"2.1.2.01.06- INSS s/Provisao de Ferias"</f>
        <v>2.1.2.01.06- INSS s/Provisao de Ferias</v>
      </c>
      <c r="B96" s="9">
        <v>3140987.09</v>
      </c>
      <c r="C96" s="9">
        <v>9680.91</v>
      </c>
      <c r="D96" s="9">
        <v>3150668</v>
      </c>
    </row>
    <row r="97" spans="1:4" x14ac:dyDescent="0.3">
      <c r="A97" s="2" t="str">
        <f>"2.1.2.01.09- INSS a Recolher s/Autonomos"</f>
        <v>2.1.2.01.09- INSS a Recolher s/Autonomos</v>
      </c>
      <c r="B97" s="9">
        <v>4844.83</v>
      </c>
      <c r="C97" s="9">
        <v>3147.99</v>
      </c>
      <c r="D97" s="9">
        <v>7992.82</v>
      </c>
    </row>
    <row r="98" spans="1:4" x14ac:dyDescent="0.3">
      <c r="A98" s="2" t="str">
        <f>"2.1.2.01.10- INSS s/Provisao de 13.Salario"</f>
        <v>2.1.2.01.10- INSS s/Provisao de 13.Salario</v>
      </c>
      <c r="B98" s="9">
        <v>616445.61</v>
      </c>
      <c r="C98" s="9">
        <v>189149.11</v>
      </c>
      <c r="D98" s="9">
        <v>805594.72</v>
      </c>
    </row>
    <row r="99" spans="1:4" x14ac:dyDescent="0.3">
      <c r="A99" s="2" t="str">
        <f>"2.1.2.01.11- FGTS s/Provisao de 13.Salario"</f>
        <v>2.1.2.01.11- FGTS s/Provisao de 13.Salario</v>
      </c>
      <c r="B99" s="9">
        <v>107965.38</v>
      </c>
      <c r="C99" s="9">
        <v>20833.240000000002</v>
      </c>
      <c r="D99" s="9">
        <v>128798.62</v>
      </c>
    </row>
    <row r="100" spans="1:4" x14ac:dyDescent="0.3">
      <c r="A100" s="2" t="str">
        <f>"2.1.2.01.12- FGTS s/Provisao de Ferias"</f>
        <v>2.1.2.01.12- FGTS s/Provisao de Ferias</v>
      </c>
      <c r="B100" s="9">
        <v>858868.07</v>
      </c>
      <c r="C100" s="9">
        <v>2904.3</v>
      </c>
      <c r="D100" s="9">
        <v>861772.37</v>
      </c>
    </row>
    <row r="101" spans="1:4" x14ac:dyDescent="0.3">
      <c r="A101" s="2" t="str">
        <f>"2.1.2.01.15- Crediserv-BH"</f>
        <v>2.1.2.01.15- Crediserv-BH</v>
      </c>
      <c r="B101" s="9">
        <v>24093.27</v>
      </c>
      <c r="C101" s="9">
        <v>1152.8699999999999</v>
      </c>
      <c r="D101" s="9">
        <v>25246.14</v>
      </c>
    </row>
    <row r="102" spans="1:4" x14ac:dyDescent="0.3">
      <c r="A102" s="2" t="str">
        <f>"2.1.2.01.16- INSS Fonte a Recolher - PJ"</f>
        <v>2.1.2.01.16- INSS Fonte a Recolher - PJ</v>
      </c>
      <c r="B102" s="9">
        <v>363425.42</v>
      </c>
      <c r="C102" s="9">
        <v>-62962.26</v>
      </c>
      <c r="D102" s="9">
        <v>300463.15999999997</v>
      </c>
    </row>
    <row r="103" spans="1:4" x14ac:dyDescent="0.3">
      <c r="A103" s="2" t="str">
        <f>"2.1.2.01.18- INSS Fonte a Recolher - P F"</f>
        <v>2.1.2.01.18- INSS Fonte a Recolher - P F</v>
      </c>
      <c r="B103" s="9">
        <v>1838</v>
      </c>
      <c r="C103" s="9">
        <v>1302.52</v>
      </c>
      <c r="D103" s="9">
        <v>3140.52</v>
      </c>
    </row>
    <row r="104" spans="1:4" x14ac:dyDescent="0.3">
      <c r="A104" s="2" t="str">
        <f>"2.1.3.00.00- OBRIGACOES FISCAIS A CURTO PRAZO"</f>
        <v>2.1.3.00.00- OBRIGACOES FISCAIS A CURTO PRAZO</v>
      </c>
      <c r="B104" s="9">
        <v>1939917.26</v>
      </c>
      <c r="C104" s="9">
        <v>193464.76</v>
      </c>
      <c r="D104" s="9">
        <v>2133382.02</v>
      </c>
    </row>
    <row r="105" spans="1:4" x14ac:dyDescent="0.3">
      <c r="A105" s="2" t="str">
        <f>"2.1.3.01.00- IMPOSTOS E TAXAS A RECOLHER"</f>
        <v>2.1.3.01.00- IMPOSTOS E TAXAS A RECOLHER</v>
      </c>
      <c r="B105" s="9">
        <v>1939917.26</v>
      </c>
      <c r="C105" s="9">
        <v>193464.76</v>
      </c>
      <c r="D105" s="9">
        <v>2133382.02</v>
      </c>
    </row>
    <row r="106" spans="1:4" x14ac:dyDescent="0.3">
      <c r="A106" s="2" t="str">
        <f>"2.1.3.01.01- IRRF Fonte Folha Pagto"</f>
        <v>2.1.3.01.01- IRRF Fonte Folha Pagto</v>
      </c>
      <c r="B106" s="9">
        <v>1313905.1299999999</v>
      </c>
      <c r="C106" s="9">
        <v>356969.42</v>
      </c>
      <c r="D106" s="9">
        <v>1670874.55</v>
      </c>
    </row>
    <row r="107" spans="1:4" x14ac:dyDescent="0.3">
      <c r="A107" s="2" t="str">
        <f>"2.1.3.01.03- IRRF Fonte - Pessoa  Juridica e Física"</f>
        <v>2.1.3.01.03- IRRF Fonte - Pessoa  Juridica e Física</v>
      </c>
      <c r="B107" s="9">
        <v>43833.48</v>
      </c>
      <c r="C107" s="9">
        <v>-4660.53</v>
      </c>
      <c r="D107" s="9">
        <v>39172.949999999997</v>
      </c>
    </row>
    <row r="108" spans="1:4" x14ac:dyDescent="0.3">
      <c r="A108" s="2" t="str">
        <f>"2.1.3.01.09- ISS Fonte a Recolher P.Juridica"</f>
        <v>2.1.3.01.09- ISS Fonte a Recolher P.Juridica</v>
      </c>
      <c r="B108" s="9">
        <v>136593.01</v>
      </c>
      <c r="C108" s="9">
        <v>-61498.1</v>
      </c>
      <c r="D108" s="9">
        <v>75094.91</v>
      </c>
    </row>
    <row r="109" spans="1:4" x14ac:dyDescent="0.3">
      <c r="A109" s="2" t="str">
        <f>"2.1.3.01.12- CSLL-COFINS-PIS - FONTE"</f>
        <v>2.1.3.01.12- CSLL-COFINS-PIS - FONTE</v>
      </c>
      <c r="B109" s="9">
        <v>445585.64</v>
      </c>
      <c r="C109" s="9">
        <v>-97346.03</v>
      </c>
      <c r="D109" s="9">
        <v>348239.61</v>
      </c>
    </row>
    <row r="110" spans="1:4" x14ac:dyDescent="0.3">
      <c r="A110" s="2" t="str">
        <f>"2.1.4.00.00- OUTRAS OBRIGACOES A CURTO PRAZO"</f>
        <v>2.1.4.00.00- OUTRAS OBRIGACOES A CURTO PRAZO</v>
      </c>
      <c r="B110" s="9">
        <v>5286964.28</v>
      </c>
      <c r="C110" s="9">
        <v>4337.57</v>
      </c>
      <c r="D110" s="9">
        <v>5291301.8499999996</v>
      </c>
    </row>
    <row r="111" spans="1:4" x14ac:dyDescent="0.3">
      <c r="A111" s="2" t="str">
        <f>"2.1.4.01.00- FORNECEDORES"</f>
        <v>2.1.4.01.00- FORNECEDORES</v>
      </c>
      <c r="B111" s="9">
        <v>3923316.39</v>
      </c>
      <c r="C111" s="9">
        <v>-12405.04</v>
      </c>
      <c r="D111" s="9">
        <v>3910911.35</v>
      </c>
    </row>
    <row r="112" spans="1:4" x14ac:dyDescent="0.3">
      <c r="A112" s="2" t="str">
        <f>"2.1.4.01.99- Fornecedores"</f>
        <v>2.1.4.01.99- Fornecedores</v>
      </c>
      <c r="B112" s="9">
        <v>3923316.39</v>
      </c>
      <c r="C112" s="9">
        <v>-12405.04</v>
      </c>
      <c r="D112" s="9">
        <v>3910911.35</v>
      </c>
    </row>
    <row r="113" spans="1:4" x14ac:dyDescent="0.3">
      <c r="A113" s="2" t="str">
        <f>"2.1.4.02.00- CONTAS A PAGAR"</f>
        <v>2.1.4.02.00- CONTAS A PAGAR</v>
      </c>
      <c r="B113" s="9">
        <v>411361.92</v>
      </c>
      <c r="C113" s="9">
        <v>16742.61</v>
      </c>
      <c r="D113" s="9">
        <v>428104.53</v>
      </c>
    </row>
    <row r="114" spans="1:4" x14ac:dyDescent="0.3">
      <c r="A114" s="2" t="str">
        <f>"2.1.4.02.01- Emprestimo Consignado - Bradesco"</f>
        <v>2.1.4.02.01- Emprestimo Consignado - Bradesco</v>
      </c>
      <c r="B114" s="9">
        <v>234545.72</v>
      </c>
      <c r="C114" s="9">
        <v>1600.99</v>
      </c>
      <c r="D114" s="9">
        <v>236146.71</v>
      </c>
    </row>
    <row r="115" spans="1:4" x14ac:dyDescent="0.3">
      <c r="A115" s="2" t="str">
        <f>"2.1.4.02.03- Emprestimo Consignado - CEF"</f>
        <v>2.1.4.02.03- Emprestimo Consignado - CEF</v>
      </c>
      <c r="B115" s="9">
        <v>53537.9</v>
      </c>
      <c r="C115" s="9">
        <v>705.22</v>
      </c>
      <c r="D115" s="9">
        <v>54243.12</v>
      </c>
    </row>
    <row r="116" spans="1:4" x14ac:dyDescent="0.3">
      <c r="A116" s="2" t="str">
        <f>"2.1.4.02.04- Emprestimo Consignado - B.Brasil"</f>
        <v>2.1.4.02.04- Emprestimo Consignado - B.Brasil</v>
      </c>
      <c r="B116" s="9">
        <v>84030.2</v>
      </c>
      <c r="C116" s="9">
        <v>167.2</v>
      </c>
      <c r="D116" s="9">
        <v>84197.4</v>
      </c>
    </row>
    <row r="117" spans="1:4" x14ac:dyDescent="0.3">
      <c r="A117" s="2" t="str">
        <f>"2.1.4.02.05- Emprestimo Consignado-Banco Alfa"</f>
        <v>2.1.4.02.05- Emprestimo Consignado-Banco Alfa</v>
      </c>
      <c r="B117" s="9">
        <v>8335.8700000000008</v>
      </c>
      <c r="C117" s="9">
        <v>0</v>
      </c>
      <c r="D117" s="9">
        <v>8335.8700000000008</v>
      </c>
    </row>
    <row r="118" spans="1:4" x14ac:dyDescent="0.3">
      <c r="A118" s="2" t="str">
        <f>"2.1.4.02.99- Contas a Pagar"</f>
        <v>2.1.4.02.99- Contas a Pagar</v>
      </c>
      <c r="B118" s="9">
        <v>30912.23</v>
      </c>
      <c r="C118" s="9">
        <v>14269.2</v>
      </c>
      <c r="D118" s="9">
        <v>45181.43</v>
      </c>
    </row>
    <row r="119" spans="1:4" x14ac:dyDescent="0.3">
      <c r="A119" s="2" t="str">
        <f>"2.1.4.04.00- CAUCAO DE TERCEIROS/LEILAO"</f>
        <v>2.1.4.04.00- CAUCAO DE TERCEIROS/LEILAO</v>
      </c>
      <c r="B119" s="9">
        <v>952285.97</v>
      </c>
      <c r="C119" s="9">
        <v>0</v>
      </c>
      <c r="D119" s="9">
        <v>952285.97</v>
      </c>
    </row>
    <row r="120" spans="1:4" x14ac:dyDescent="0.3">
      <c r="A120" s="2" t="str">
        <f>"2.1.4.04.98- Leilões"</f>
        <v>2.1.4.04.98- Leilões</v>
      </c>
      <c r="B120" s="9">
        <v>857604.91</v>
      </c>
      <c r="C120" s="9">
        <v>0</v>
      </c>
      <c r="D120" s="9">
        <v>857604.91</v>
      </c>
    </row>
    <row r="121" spans="1:4" x14ac:dyDescent="0.3">
      <c r="A121" s="2" t="str">
        <f>"2.1.4.04.99- Caucao de Terceiros"</f>
        <v>2.1.4.04.99- Caucao de Terceiros</v>
      </c>
      <c r="B121" s="9">
        <v>94681.06</v>
      </c>
      <c r="C121" s="9">
        <v>0</v>
      </c>
      <c r="D121" s="9">
        <v>94681.06</v>
      </c>
    </row>
    <row r="122" spans="1:4" x14ac:dyDescent="0.3">
      <c r="A122" s="2" t="str">
        <f>"2.2.0.00.00- PASSIVO NAO CIRCULANTE"</f>
        <v>2.2.0.00.00- PASSIVO NAO CIRCULANTE</v>
      </c>
      <c r="B122" s="9">
        <v>155128641.69</v>
      </c>
      <c r="C122" s="9">
        <v>5059509.17</v>
      </c>
      <c r="D122" s="9">
        <v>160188150.86000001</v>
      </c>
    </row>
    <row r="123" spans="1:4" x14ac:dyDescent="0.3">
      <c r="A123" s="2" t="str">
        <f>"2.2.4.00.00- OUTRAS OBRIGACOES A LONGO PRAZO"</f>
        <v>2.2.4.00.00- OUTRAS OBRIGACOES A LONGO PRAZO</v>
      </c>
      <c r="B123" s="9">
        <v>155128641.69</v>
      </c>
      <c r="C123" s="9">
        <v>5059509.17</v>
      </c>
      <c r="D123" s="9">
        <v>160188150.86000001</v>
      </c>
    </row>
    <row r="124" spans="1:4" x14ac:dyDescent="0.3">
      <c r="A124" s="2" t="str">
        <f>"2.2.4.01.00- CREDORES DIVERSOS"</f>
        <v>2.2.4.01.00- CREDORES DIVERSOS</v>
      </c>
      <c r="B124" s="9">
        <v>14683306</v>
      </c>
      <c r="C124" s="9">
        <v>5037195.37</v>
      </c>
      <c r="D124" s="9">
        <v>19720501.370000001</v>
      </c>
    </row>
    <row r="125" spans="1:4" x14ac:dyDescent="0.3">
      <c r="A125" s="2" t="str">
        <f>"2.2.4.01.02- Outros Credores Diversos"</f>
        <v>2.2.4.01.02- Outros Credores Diversos</v>
      </c>
      <c r="B125" s="9">
        <v>1446994.26</v>
      </c>
      <c r="C125" s="9">
        <v>5037195.37</v>
      </c>
      <c r="D125" s="9">
        <v>6484189.6299999999</v>
      </c>
    </row>
    <row r="126" spans="1:4" x14ac:dyDescent="0.3">
      <c r="A126" s="2" t="str">
        <f>"2.2.4.01.04- Provisão para Contingências Fiscais"</f>
        <v>2.2.4.01.04- Provisão para Contingências Fiscais</v>
      </c>
      <c r="B126" s="9">
        <v>12294456.800000001</v>
      </c>
      <c r="C126" s="9">
        <v>0</v>
      </c>
      <c r="D126" s="9">
        <v>12294456.800000001</v>
      </c>
    </row>
    <row r="127" spans="1:4" x14ac:dyDescent="0.3">
      <c r="A127" s="2" t="str">
        <f>"2.2.4.01.05- INSS Segurados"</f>
        <v>2.2.4.01.05- INSS Segurados</v>
      </c>
      <c r="B127" s="9">
        <v>941854.94</v>
      </c>
      <c r="C127" s="9">
        <v>0</v>
      </c>
      <c r="D127" s="9">
        <v>941854.94</v>
      </c>
    </row>
    <row r="128" spans="1:4" x14ac:dyDescent="0.3">
      <c r="A128" s="2" t="str">
        <f>"2.2.4.04.00- ACOES JUDICIAIS E TRABALHISTAS"</f>
        <v>2.2.4.04.00- ACOES JUDICIAIS E TRABALHISTAS</v>
      </c>
      <c r="B128" s="9">
        <v>140445335.69</v>
      </c>
      <c r="C128" s="9">
        <v>22313.8</v>
      </c>
      <c r="D128" s="9">
        <v>140467649.49000001</v>
      </c>
    </row>
    <row r="129" spans="1:4" x14ac:dyDescent="0.3">
      <c r="A129" s="2" t="str">
        <f>"2.2.4.04.01- Acoes judiciais"</f>
        <v>2.2.4.04.01- Acoes judiciais</v>
      </c>
      <c r="B129" s="9">
        <v>59595973.630000003</v>
      </c>
      <c r="C129" s="9">
        <v>0</v>
      </c>
      <c r="D129" s="9">
        <v>59595973.630000003</v>
      </c>
    </row>
    <row r="130" spans="1:4" x14ac:dyDescent="0.3">
      <c r="A130" s="2" t="str">
        <f>"2.2.4.04.02- Acoes trabalhistas"</f>
        <v>2.2.4.04.02- Acoes trabalhistas</v>
      </c>
      <c r="B130" s="9">
        <v>80849362.060000002</v>
      </c>
      <c r="C130" s="9">
        <v>22313.8</v>
      </c>
      <c r="D130" s="9">
        <v>80871675.859999999</v>
      </c>
    </row>
    <row r="131" spans="1:4" x14ac:dyDescent="0.3">
      <c r="A131" s="2" t="str">
        <f>"2.4.0.00.00- PATRIMONIO LIQUIDO"</f>
        <v>2.4.0.00.00- PATRIMONIO LIQUIDO</v>
      </c>
      <c r="B131" s="9">
        <v>-132851524.42</v>
      </c>
      <c r="C131" s="9">
        <v>-362486.02</v>
      </c>
      <c r="D131" s="9">
        <v>-133214010.44</v>
      </c>
    </row>
    <row r="132" spans="1:4" x14ac:dyDescent="0.3">
      <c r="A132" s="2" t="str">
        <f>"2.4.1.00.00- CAPITAL SOCIAL"</f>
        <v>2.4.1.00.00- CAPITAL SOCIAL</v>
      </c>
      <c r="B132" s="9">
        <v>67418193.159999996</v>
      </c>
      <c r="C132" s="9">
        <v>0</v>
      </c>
      <c r="D132" s="9">
        <v>67418193.159999996</v>
      </c>
    </row>
    <row r="133" spans="1:4" x14ac:dyDescent="0.3">
      <c r="A133" s="2" t="str">
        <f>"2.4.1.02.00- CAPITAL REALIZADO"</f>
        <v>2.4.1.02.00- CAPITAL REALIZADO</v>
      </c>
      <c r="B133" s="9">
        <v>67418193.159999996</v>
      </c>
      <c r="C133" s="9">
        <v>0</v>
      </c>
      <c r="D133" s="9">
        <v>67418193.159999996</v>
      </c>
    </row>
    <row r="134" spans="1:4" x14ac:dyDescent="0.3">
      <c r="A134" s="2" t="str">
        <f>"2.4.1.02.01- Capital Subscrito"</f>
        <v>2.4.1.02.01- Capital Subscrito</v>
      </c>
      <c r="B134" s="9">
        <v>75000000</v>
      </c>
      <c r="C134" s="9">
        <v>0</v>
      </c>
      <c r="D134" s="9">
        <v>75000000</v>
      </c>
    </row>
    <row r="135" spans="1:4" x14ac:dyDescent="0.3">
      <c r="A135" s="2" t="str">
        <f>"2.4.1.02.04- Capital a Realizar"</f>
        <v>2.4.1.02.04- Capital a Realizar</v>
      </c>
      <c r="B135" s="9">
        <v>-7581806.8399999999</v>
      </c>
      <c r="C135" s="9">
        <v>0</v>
      </c>
      <c r="D135" s="9">
        <v>-7581806.8399999999</v>
      </c>
    </row>
    <row r="136" spans="1:4" x14ac:dyDescent="0.3">
      <c r="A136" s="2" t="str">
        <f>"2.4.3.00.00- RESULTADOS ACUMULADOS"</f>
        <v>2.4.3.00.00- RESULTADOS ACUMULADOS</v>
      </c>
      <c r="B136" s="9">
        <v>-200269717.58000001</v>
      </c>
      <c r="C136" s="9">
        <v>-362486.02</v>
      </c>
      <c r="D136" s="9">
        <v>-200632203.59999999</v>
      </c>
    </row>
    <row r="137" spans="1:4" x14ac:dyDescent="0.3">
      <c r="A137" s="2" t="str">
        <f>"2.4.3.01.00- LUCROS/PREJUIZOS ACUMULADOS"</f>
        <v>2.4.3.01.00- LUCROS/PREJUIZOS ACUMULADOS</v>
      </c>
      <c r="B137" s="9">
        <v>-200269717.58000001</v>
      </c>
      <c r="C137" s="9">
        <v>-362486.02</v>
      </c>
      <c r="D137" s="9">
        <v>-200632203.59999999</v>
      </c>
    </row>
    <row r="138" spans="1:4" x14ac:dyDescent="0.3">
      <c r="A138" s="2" t="str">
        <f>"2.4.3.01.01- Resultados de Exerc. Anteriores"</f>
        <v>2.4.3.01.01- Resultados de Exerc. Anteriores</v>
      </c>
      <c r="B138" s="9">
        <v>-198789507.34</v>
      </c>
      <c r="C138" s="9">
        <v>0</v>
      </c>
      <c r="D138" s="9">
        <v>-198789507.34</v>
      </c>
    </row>
    <row r="139" spans="1:4" x14ac:dyDescent="0.3">
      <c r="A139" s="2" t="str">
        <f>"2.4.3.01.02- Resultado deste Exercicio"</f>
        <v>2.4.3.01.02- Resultado deste Exercicio</v>
      </c>
      <c r="B139" s="9">
        <v>-1480210.24</v>
      </c>
      <c r="C139" s="9">
        <v>-362486.02</v>
      </c>
      <c r="D139" s="9">
        <v>-1842696.26</v>
      </c>
    </row>
    <row r="140" spans="1:4" x14ac:dyDescent="0.3">
      <c r="A140" s="2" t="str">
        <f>""</f>
        <v/>
      </c>
      <c r="B140" s="3" t="str">
        <f>""</f>
        <v/>
      </c>
      <c r="C140" s="3" t="str">
        <f>""</f>
        <v/>
      </c>
      <c r="D140" s="3" t="str">
        <f>""</f>
        <v/>
      </c>
    </row>
    <row r="141" spans="1:4" x14ac:dyDescent="0.3">
      <c r="A141" s="2" t="str">
        <f>"DESPESAS"</f>
        <v>DESPESAS</v>
      </c>
      <c r="B141" s="3" t="str">
        <f>""</f>
        <v/>
      </c>
      <c r="C141" s="3" t="str">
        <f>""</f>
        <v/>
      </c>
      <c r="D141" s="3" t="str">
        <f>""</f>
        <v/>
      </c>
    </row>
    <row r="142" spans="1:4" x14ac:dyDescent="0.3">
      <c r="A142" s="2" t="str">
        <f>"3.0.0.00.00- DESPESAS"</f>
        <v>3.0.0.00.00- DESPESAS</v>
      </c>
      <c r="B142" s="9">
        <v>60757586.890000001</v>
      </c>
      <c r="C142" s="9">
        <v>20583258.399999999</v>
      </c>
      <c r="D142" s="9">
        <v>81340845.290000007</v>
      </c>
    </row>
    <row r="143" spans="1:4" x14ac:dyDescent="0.3">
      <c r="A143" s="2" t="str">
        <f>"3.1.0.00.00- DESPESAS OPERACIONAIS"</f>
        <v>3.1.0.00.00- DESPESAS OPERACIONAIS</v>
      </c>
      <c r="B143" s="9">
        <v>60757586.890000001</v>
      </c>
      <c r="C143" s="9">
        <v>20583258.399999999</v>
      </c>
      <c r="D143" s="9">
        <v>81340845.290000007</v>
      </c>
    </row>
    <row r="144" spans="1:4" x14ac:dyDescent="0.3">
      <c r="A144" s="2" t="str">
        <f>"3.1.1.00.00- SALARIOS ADICIONAIS E HONORARIOS"</f>
        <v>3.1.1.00.00- SALARIOS ADICIONAIS E HONORARIOS</v>
      </c>
      <c r="B144" s="9">
        <v>30162744.02</v>
      </c>
      <c r="C144" s="9">
        <v>11761226.98</v>
      </c>
      <c r="D144" s="9">
        <v>41923971</v>
      </c>
    </row>
    <row r="145" spans="1:4" x14ac:dyDescent="0.3">
      <c r="A145" s="2" t="str">
        <f>"3.1.1.00.01- Honorarios diretoria"</f>
        <v>3.1.1.00.01- Honorarios diretoria</v>
      </c>
      <c r="B145" s="9">
        <v>218639.92</v>
      </c>
      <c r="C145" s="9">
        <v>69157.23</v>
      </c>
      <c r="D145" s="9">
        <v>287797.15000000002</v>
      </c>
    </row>
    <row r="146" spans="1:4" x14ac:dyDescent="0.3">
      <c r="A146" s="2" t="str">
        <f>"3.1.1.00.02- Honorarios conselho fiscal"</f>
        <v>3.1.1.00.02- Honorarios conselho fiscal</v>
      </c>
      <c r="B146" s="9">
        <v>21453.75</v>
      </c>
      <c r="C146" s="9">
        <v>7151.25</v>
      </c>
      <c r="D146" s="9">
        <v>28605</v>
      </c>
    </row>
    <row r="147" spans="1:4" x14ac:dyDescent="0.3">
      <c r="A147" s="2" t="str">
        <f>"3.1.1.00.03- Honorarios cons. administracao"</f>
        <v>3.1.1.00.03- Honorarios cons. administracao</v>
      </c>
      <c r="B147" s="9">
        <v>73615.8</v>
      </c>
      <c r="C147" s="9">
        <v>34026.86</v>
      </c>
      <c r="D147" s="9">
        <v>107642.66</v>
      </c>
    </row>
    <row r="148" spans="1:4" x14ac:dyDescent="0.3">
      <c r="A148" s="2" t="str">
        <f>"3.1.1.00.04- Salarios e adicionais"</f>
        <v>3.1.1.00.04- Salarios e adicionais</v>
      </c>
      <c r="B148" s="9">
        <v>23446962.07</v>
      </c>
      <c r="C148" s="9">
        <v>7446862.8099999996</v>
      </c>
      <c r="D148" s="9">
        <v>30893824.879999999</v>
      </c>
    </row>
    <row r="149" spans="1:4" x14ac:dyDescent="0.3">
      <c r="A149" s="2" t="str">
        <f>"3.1.1.00.05- Ferias e abono pecuniario"</f>
        <v>3.1.1.00.05- Ferias e abono pecuniario</v>
      </c>
      <c r="B149" s="9">
        <v>2970440.6</v>
      </c>
      <c r="C149" s="9">
        <v>793467.82</v>
      </c>
      <c r="D149" s="9">
        <v>3763908.42</v>
      </c>
    </row>
    <row r="150" spans="1:4" x14ac:dyDescent="0.3">
      <c r="A150" s="2" t="str">
        <f>"3.1.1.00.06- Decimo terceiro salario"</f>
        <v>3.1.1.00.06- Decimo terceiro salario</v>
      </c>
      <c r="B150" s="9">
        <v>2120520.0699999998</v>
      </c>
      <c r="C150" s="9">
        <v>651661.15</v>
      </c>
      <c r="D150" s="9">
        <v>2772181.22</v>
      </c>
    </row>
    <row r="151" spans="1:4" x14ac:dyDescent="0.3">
      <c r="A151" s="2" t="str">
        <f>"3.1.1.00.07- Indenizacoes trabalhistas"</f>
        <v>3.1.1.00.07- Indenizacoes trabalhistas</v>
      </c>
      <c r="B151" s="9">
        <v>1234847.1000000001</v>
      </c>
      <c r="C151" s="9">
        <v>2734802.52</v>
      </c>
      <c r="D151" s="9">
        <v>3969649.62</v>
      </c>
    </row>
    <row r="152" spans="1:4" x14ac:dyDescent="0.3">
      <c r="A152" s="2" t="str">
        <f>"3.1.1.00.08- Bolsas de estagiario"</f>
        <v>3.1.1.00.08- Bolsas de estagiario</v>
      </c>
      <c r="B152" s="9">
        <v>76264.710000000006</v>
      </c>
      <c r="C152" s="9">
        <v>24097.34</v>
      </c>
      <c r="D152" s="9">
        <v>100362.05</v>
      </c>
    </row>
    <row r="153" spans="1:4" x14ac:dyDescent="0.3">
      <c r="A153" s="2" t="str">
        <f>"3.1.2.01.00- ENCARGOS SOCIAIS"</f>
        <v>3.1.2.01.00- ENCARGOS SOCIAIS</v>
      </c>
      <c r="B153" s="9">
        <v>10541946.220000001</v>
      </c>
      <c r="C153" s="9">
        <v>3251598.51</v>
      </c>
      <c r="D153" s="9">
        <v>13793544.73</v>
      </c>
    </row>
    <row r="154" spans="1:4" x14ac:dyDescent="0.3">
      <c r="A154" s="2" t="str">
        <f>"3.1.2.01.01- INSS"</f>
        <v>3.1.2.01.01- INSS</v>
      </c>
      <c r="B154" s="9">
        <v>8223260.7999999998</v>
      </c>
      <c r="C154" s="9">
        <v>2560932.73</v>
      </c>
      <c r="D154" s="9">
        <v>10784193.529999999</v>
      </c>
    </row>
    <row r="155" spans="1:4" x14ac:dyDescent="0.3">
      <c r="A155" s="2" t="str">
        <f>"3.1.2.01.02- FGTS"</f>
        <v>3.1.2.01.02- FGTS</v>
      </c>
      <c r="B155" s="9">
        <v>2318685.42</v>
      </c>
      <c r="C155" s="9">
        <v>690665.78</v>
      </c>
      <c r="D155" s="9">
        <v>3009351.2</v>
      </c>
    </row>
    <row r="156" spans="1:4" x14ac:dyDescent="0.3">
      <c r="A156" s="2" t="str">
        <f>"3.1.2.02.00- OUTRAS DESPESAS COM PESSOAL"</f>
        <v>3.1.2.02.00- OUTRAS DESPESAS COM PESSOAL</v>
      </c>
      <c r="B156" s="9">
        <v>4938493.09</v>
      </c>
      <c r="C156" s="9">
        <v>1692528.93</v>
      </c>
      <c r="D156" s="9">
        <v>6631022.0199999996</v>
      </c>
    </row>
    <row r="157" spans="1:4" x14ac:dyDescent="0.3">
      <c r="A157" s="2" t="str">
        <f>"3.1.2.02.01- Seguros de Vida"</f>
        <v>3.1.2.02.01- Seguros de Vida</v>
      </c>
      <c r="B157" s="9">
        <v>24234.880000000001</v>
      </c>
      <c r="C157" s="9">
        <v>8030.4</v>
      </c>
      <c r="D157" s="9">
        <v>32265.279999999999</v>
      </c>
    </row>
    <row r="158" spans="1:4" x14ac:dyDescent="0.3">
      <c r="A158" s="2" t="str">
        <f>"3.1.2.02.02- Ass. Medica Odontologica"</f>
        <v>3.1.2.02.02- Ass. Medica Odontologica</v>
      </c>
      <c r="B158" s="9">
        <v>2066503.8</v>
      </c>
      <c r="C158" s="9">
        <v>715966.32</v>
      </c>
      <c r="D158" s="9">
        <v>2782470.12</v>
      </c>
    </row>
    <row r="159" spans="1:4" x14ac:dyDescent="0.3">
      <c r="A159" s="2" t="str">
        <f>"3.1.2.02.03- Vale Transporte"</f>
        <v>3.1.2.02.03- Vale Transporte</v>
      </c>
      <c r="B159" s="9">
        <v>134568.21</v>
      </c>
      <c r="C159" s="9">
        <v>68565.81</v>
      </c>
      <c r="D159" s="9">
        <v>203134.02</v>
      </c>
    </row>
    <row r="160" spans="1:4" x14ac:dyDescent="0.3">
      <c r="A160" s="2" t="str">
        <f>"3.1.2.02.04- Vale Refeicao/Alimentacao"</f>
        <v>3.1.2.02.04- Vale Refeicao/Alimentacao</v>
      </c>
      <c r="B160" s="9">
        <v>2642348.3199999998</v>
      </c>
      <c r="C160" s="9">
        <v>883079.83</v>
      </c>
      <c r="D160" s="9">
        <v>3525428.15</v>
      </c>
    </row>
    <row r="161" spans="1:4" x14ac:dyDescent="0.3">
      <c r="A161" s="2" t="str">
        <f>"3.1.2.02.05- Compl. Auxilio Doenca"</f>
        <v>3.1.2.02.05- Compl. Auxilio Doenca</v>
      </c>
      <c r="B161" s="9">
        <v>10814.57</v>
      </c>
      <c r="C161" s="9">
        <v>1139.45</v>
      </c>
      <c r="D161" s="9">
        <v>11954.02</v>
      </c>
    </row>
    <row r="162" spans="1:4" x14ac:dyDescent="0.3">
      <c r="A162" s="2" t="str">
        <f>"3.1.2.02.06- Cursos e Treinamentos"</f>
        <v>3.1.2.02.06- Cursos e Treinamentos</v>
      </c>
      <c r="B162" s="9">
        <v>10762.53</v>
      </c>
      <c r="C162" s="9">
        <v>0</v>
      </c>
      <c r="D162" s="9">
        <v>10762.53</v>
      </c>
    </row>
    <row r="163" spans="1:4" x14ac:dyDescent="0.3">
      <c r="A163" s="2" t="str">
        <f>"3.1.2.02.07- Auxilio Creche"</f>
        <v>3.1.2.02.07- Auxilio Creche</v>
      </c>
      <c r="B163" s="9">
        <v>49260.78</v>
      </c>
      <c r="C163" s="9">
        <v>15747.12</v>
      </c>
      <c r="D163" s="9">
        <v>65007.9</v>
      </c>
    </row>
    <row r="164" spans="1:4" x14ac:dyDescent="0.3">
      <c r="A164" s="2" t="str">
        <f>"3.1.3.00.00- MATERIAIS"</f>
        <v>3.1.3.00.00- MATERIAIS</v>
      </c>
      <c r="B164" s="9">
        <v>114240.58</v>
      </c>
      <c r="C164" s="9">
        <v>46799.27</v>
      </c>
      <c r="D164" s="9">
        <v>161039.85</v>
      </c>
    </row>
    <row r="165" spans="1:4" x14ac:dyDescent="0.3">
      <c r="A165" s="2" t="str">
        <f>"3.1.3.00.01- Bens de natureza permanente"</f>
        <v>3.1.3.00.01- Bens de natureza permanente</v>
      </c>
      <c r="B165" s="9">
        <v>0</v>
      </c>
      <c r="C165" s="9">
        <v>7653.6</v>
      </c>
      <c r="D165" s="9">
        <v>7653.6</v>
      </c>
    </row>
    <row r="166" spans="1:4" x14ac:dyDescent="0.3">
      <c r="A166" s="2" t="str">
        <f>"3.1.3.00.08- Material seguranca e uniformes"</f>
        <v>3.1.3.00.08- Material seguranca e uniformes</v>
      </c>
      <c r="B166" s="9">
        <v>830.04</v>
      </c>
      <c r="C166" s="9">
        <v>0</v>
      </c>
      <c r="D166" s="9">
        <v>830.04</v>
      </c>
    </row>
    <row r="167" spans="1:4" x14ac:dyDescent="0.3">
      <c r="A167" s="2" t="str">
        <f>"3.1.3.00.09- Material limp/conserv/copa/cozin"</f>
        <v>3.1.3.00.09- Material limp/conserv/copa/cozin</v>
      </c>
      <c r="B167" s="9">
        <v>39421.56</v>
      </c>
      <c r="C167" s="9">
        <v>20668.23</v>
      </c>
      <c r="D167" s="9">
        <v>60089.79</v>
      </c>
    </row>
    <row r="168" spans="1:4" x14ac:dyDescent="0.3">
      <c r="A168" s="2" t="str">
        <f>"3.1.3.00.10- Impressos e material de escritorio"</f>
        <v>3.1.3.00.10- Impressos e material de escritorio</v>
      </c>
      <c r="B168" s="9">
        <v>16520.990000000002</v>
      </c>
      <c r="C168" s="9">
        <v>3666.13</v>
      </c>
      <c r="D168" s="9">
        <v>20187.12</v>
      </c>
    </row>
    <row r="169" spans="1:4" x14ac:dyDescent="0.3">
      <c r="A169" s="2" t="str">
        <f>"3.1.3.00.11- Materiais manut. inst. prediais"</f>
        <v>3.1.3.00.11- Materiais manut. inst. prediais</v>
      </c>
      <c r="B169" s="9">
        <v>54316.4</v>
      </c>
      <c r="C169" s="9">
        <v>8540.08</v>
      </c>
      <c r="D169" s="9">
        <v>62856.480000000003</v>
      </c>
    </row>
    <row r="170" spans="1:4" x14ac:dyDescent="0.3">
      <c r="A170" s="2" t="str">
        <f>"3.1.3.00.15- Materiais e supriment informatic"</f>
        <v>3.1.3.00.15- Materiais e supriment informatic</v>
      </c>
      <c r="B170" s="9">
        <v>1149.0999999999999</v>
      </c>
      <c r="C170" s="9">
        <v>514.83000000000004</v>
      </c>
      <c r="D170" s="9">
        <v>1663.93</v>
      </c>
    </row>
    <row r="171" spans="1:4" x14ac:dyDescent="0.3">
      <c r="A171" s="2" t="str">
        <f>"3.1.3.00.99- Outros materiais"</f>
        <v>3.1.3.00.99- Outros materiais</v>
      </c>
      <c r="B171" s="9">
        <v>2002.49</v>
      </c>
      <c r="C171" s="9">
        <v>5756.4</v>
      </c>
      <c r="D171" s="9">
        <v>7758.89</v>
      </c>
    </row>
    <row r="172" spans="1:4" x14ac:dyDescent="0.3">
      <c r="A172" s="2" t="str">
        <f>"3.1.4.00.00- SERVICOS PRESTADOS POR TERCEIROS"</f>
        <v>3.1.4.00.00- SERVICOS PRESTADOS POR TERCEIROS</v>
      </c>
      <c r="B172" s="9">
        <v>12596426.060000001</v>
      </c>
      <c r="C172" s="9">
        <v>2917610.82</v>
      </c>
      <c r="D172" s="9">
        <v>15514036.880000001</v>
      </c>
    </row>
    <row r="173" spans="1:4" x14ac:dyDescent="0.3">
      <c r="A173" s="2" t="str">
        <f>"3.1.4.00.01- Consultoria"</f>
        <v>3.1.4.00.01- Consultoria</v>
      </c>
      <c r="B173" s="9">
        <v>26557.85</v>
      </c>
      <c r="C173" s="9">
        <v>455.73</v>
      </c>
      <c r="D173" s="9">
        <v>27013.58</v>
      </c>
    </row>
    <row r="174" spans="1:4" x14ac:dyDescent="0.3">
      <c r="A174" s="2" t="str">
        <f>"3.1.4.00.02- Locacao de veiculos"</f>
        <v>3.1.4.00.02- Locacao de veiculos</v>
      </c>
      <c r="B174" s="9">
        <v>19298.52</v>
      </c>
      <c r="C174" s="9">
        <v>6432.84</v>
      </c>
      <c r="D174" s="9">
        <v>25731.360000000001</v>
      </c>
    </row>
    <row r="175" spans="1:4" x14ac:dyDescent="0.3">
      <c r="A175" s="2" t="str">
        <f>"3.1.4.00.03- Locacao de equipamentos"</f>
        <v>3.1.4.00.03- Locacao de equipamentos</v>
      </c>
      <c r="B175" s="9">
        <v>12119.69</v>
      </c>
      <c r="C175" s="9">
        <v>2220.62</v>
      </c>
      <c r="D175" s="9">
        <v>14340.31</v>
      </c>
    </row>
    <row r="176" spans="1:4" x14ac:dyDescent="0.3">
      <c r="A176" s="2" t="str">
        <f>"3.1.4.00.10- Mao de obra contratada"</f>
        <v>3.1.4.00.10- Mao de obra contratada</v>
      </c>
      <c r="B176" s="9">
        <v>8273589.4199999999</v>
      </c>
      <c r="C176" s="9">
        <v>1664844.66</v>
      </c>
      <c r="D176" s="9">
        <v>9938434.0800000001</v>
      </c>
    </row>
    <row r="177" spans="1:4" x14ac:dyDescent="0.3">
      <c r="A177" s="2" t="str">
        <f>"3.1.4.00.13- Publicidade e divulgacao"</f>
        <v>3.1.4.00.13- Publicidade e divulgacao</v>
      </c>
      <c r="B177" s="9">
        <v>793.92</v>
      </c>
      <c r="C177" s="9">
        <v>18398.48</v>
      </c>
      <c r="D177" s="9">
        <v>19192.400000000001</v>
      </c>
    </row>
    <row r="178" spans="1:4" x14ac:dyDescent="0.3">
      <c r="A178" s="2" t="str">
        <f>"3.1.4.00.14- Informatica-serv. e/ou locacao"</f>
        <v>3.1.4.00.14- Informatica-serv. e/ou locacao</v>
      </c>
      <c r="B178" s="9">
        <v>725350.64</v>
      </c>
      <c r="C178" s="9">
        <v>196067.07</v>
      </c>
      <c r="D178" s="9">
        <v>921417.71</v>
      </c>
    </row>
    <row r="179" spans="1:4" x14ac:dyDescent="0.3">
      <c r="A179" s="2" t="str">
        <f>"3.1.4.00.15- Outros serv. prestados - PF"</f>
        <v>3.1.4.00.15- Outros serv. prestados - PF</v>
      </c>
      <c r="B179" s="9">
        <v>87774.02</v>
      </c>
      <c r="C179" s="9">
        <v>39964.11</v>
      </c>
      <c r="D179" s="9">
        <v>127738.13</v>
      </c>
    </row>
    <row r="180" spans="1:4" x14ac:dyDescent="0.3">
      <c r="A180" s="2" t="str">
        <f>"3.1.4.00.16- Outros serv. Prestados - PJ"</f>
        <v>3.1.4.00.16- Outros serv. Prestados - PJ</v>
      </c>
      <c r="B180" s="9">
        <v>705535.16</v>
      </c>
      <c r="C180" s="9">
        <v>137908.60999999999</v>
      </c>
      <c r="D180" s="9">
        <v>843443.77</v>
      </c>
    </row>
    <row r="181" spans="1:4" x14ac:dyDescent="0.3">
      <c r="A181" s="2" t="str">
        <f>"3.1.4.00.17- Servicos postais"</f>
        <v>3.1.4.00.17- Servicos postais</v>
      </c>
      <c r="B181" s="9">
        <v>16855.240000000002</v>
      </c>
      <c r="C181" s="9">
        <v>4645.2</v>
      </c>
      <c r="D181" s="9">
        <v>21500.44</v>
      </c>
    </row>
    <row r="182" spans="1:4" x14ac:dyDescent="0.3">
      <c r="A182" s="2" t="str">
        <f>"3.1.4.00.19- Manut. imoveis/instal/equip.oper"</f>
        <v>3.1.4.00.19- Manut. imoveis/instal/equip.oper</v>
      </c>
      <c r="B182" s="9">
        <v>36656.839999999997</v>
      </c>
      <c r="C182" s="9">
        <v>12383.98</v>
      </c>
      <c r="D182" s="9">
        <v>49040.82</v>
      </c>
    </row>
    <row r="183" spans="1:4" x14ac:dyDescent="0.3">
      <c r="A183" s="2" t="str">
        <f>"3.1.4.00.26- Serv.limp.conserv."</f>
        <v>3.1.4.00.26- Serv.limp.conserv.</v>
      </c>
      <c r="B183" s="9">
        <v>2598675.2999999998</v>
      </c>
      <c r="C183" s="9">
        <v>929000.2</v>
      </c>
      <c r="D183" s="9">
        <v>3527675.5</v>
      </c>
    </row>
    <row r="184" spans="1:4" x14ac:dyDescent="0.3">
      <c r="A184" s="2" t="str">
        <f>"3.1.4.00.32- Vale transporte"</f>
        <v>3.1.4.00.32- Vale transporte</v>
      </c>
      <c r="B184" s="9">
        <v>10974.69</v>
      </c>
      <c r="C184" s="9">
        <v>0</v>
      </c>
      <c r="D184" s="9">
        <v>10974.69</v>
      </c>
    </row>
    <row r="185" spans="1:4" x14ac:dyDescent="0.3">
      <c r="A185" s="2" t="str">
        <f>"3.1.4.00.33- Vale Ref./Al.terceir."</f>
        <v>3.1.4.00.33- Vale Ref./Al.terceir.</v>
      </c>
      <c r="B185" s="9">
        <v>104736.56</v>
      </c>
      <c r="C185" s="9">
        <v>0</v>
      </c>
      <c r="D185" s="9">
        <v>104736.56</v>
      </c>
    </row>
    <row r="186" spans="1:4" x14ac:dyDescent="0.3">
      <c r="A186" s="2" t="str">
        <f>"3.1.4.00.34- Comissao s/venda rotativo"</f>
        <v>3.1.4.00.34- Comissao s/venda rotativo</v>
      </c>
      <c r="B186" s="9">
        <v>5707.84</v>
      </c>
      <c r="C186" s="9">
        <v>0</v>
      </c>
      <c r="D186" s="9">
        <v>5707.84</v>
      </c>
    </row>
    <row r="187" spans="1:4" x14ac:dyDescent="0.3">
      <c r="A187" s="2" t="str">
        <f>"3.1.4.00.36- (-) Desconto ISSQN conf Lei 9145 serv. P"</f>
        <v>3.1.4.00.36- (-) Desconto ISSQN conf Lei 9145 serv. P</v>
      </c>
      <c r="B187" s="9">
        <v>-523099.66</v>
      </c>
      <c r="C187" s="9">
        <v>-94710.68</v>
      </c>
      <c r="D187" s="9">
        <v>-617810.34</v>
      </c>
    </row>
    <row r="188" spans="1:4" x14ac:dyDescent="0.3">
      <c r="A188" s="2" t="str">
        <f>"3.1.4.00.39- Convênio Guarda Municipal"</f>
        <v>3.1.4.00.39- Convênio Guarda Municipal</v>
      </c>
      <c r="B188" s="9">
        <v>494900.03</v>
      </c>
      <c r="C188" s="9">
        <v>0</v>
      </c>
      <c r="D188" s="9">
        <v>494900.03</v>
      </c>
    </row>
    <row r="189" spans="1:4" x14ac:dyDescent="0.3">
      <c r="A189" s="2" t="str">
        <f>"3.1.5.00.00- TARIFAS PUBLICAS"</f>
        <v>3.1.5.00.00- TARIFAS PUBLICAS</v>
      </c>
      <c r="B189" s="9">
        <v>372400.28</v>
      </c>
      <c r="C189" s="9">
        <v>43435.48</v>
      </c>
      <c r="D189" s="9">
        <v>415835.76</v>
      </c>
    </row>
    <row r="190" spans="1:4" x14ac:dyDescent="0.3">
      <c r="A190" s="2" t="str">
        <f>"3.1.5.00.02- Energia eletrica"</f>
        <v>3.1.5.00.02- Energia eletrica</v>
      </c>
      <c r="B190" s="9">
        <v>77085.350000000006</v>
      </c>
      <c r="C190" s="9">
        <v>0</v>
      </c>
      <c r="D190" s="9">
        <v>77085.350000000006</v>
      </c>
    </row>
    <row r="191" spans="1:4" x14ac:dyDescent="0.3">
      <c r="A191" s="2" t="str">
        <f>"3.1.5.00.03- Telefone"</f>
        <v>3.1.5.00.03- Telefone</v>
      </c>
      <c r="B191" s="9">
        <v>100612.48</v>
      </c>
      <c r="C191" s="9">
        <v>43435.48</v>
      </c>
      <c r="D191" s="9">
        <v>144047.96</v>
      </c>
    </row>
    <row r="192" spans="1:4" x14ac:dyDescent="0.3">
      <c r="A192" s="2" t="str">
        <f>"3.1.5.00.04- Copasa/FMS"</f>
        <v>3.1.5.00.04- Copasa/FMS</v>
      </c>
      <c r="B192" s="9">
        <v>194702.45</v>
      </c>
      <c r="C192" s="9">
        <v>0</v>
      </c>
      <c r="D192" s="9">
        <v>194702.45</v>
      </c>
    </row>
    <row r="193" spans="1:4" x14ac:dyDescent="0.3">
      <c r="A193" s="2" t="str">
        <f>"3.1.6.00.00- DESPESAS TRIBUTARIAS"</f>
        <v>3.1.6.00.00- DESPESAS TRIBUTARIAS</v>
      </c>
      <c r="B193" s="9">
        <v>862439.76</v>
      </c>
      <c r="C193" s="9">
        <v>345548.83</v>
      </c>
      <c r="D193" s="9">
        <v>1207988.5900000001</v>
      </c>
    </row>
    <row r="194" spans="1:4" x14ac:dyDescent="0.3">
      <c r="A194" s="2" t="str">
        <f>"3.1.6.00.01- Taxas legais"</f>
        <v>3.1.6.00.01- Taxas legais</v>
      </c>
      <c r="B194" s="9">
        <v>931.76</v>
      </c>
      <c r="C194" s="9">
        <v>931.76</v>
      </c>
      <c r="D194" s="9">
        <v>1863.52</v>
      </c>
    </row>
    <row r="195" spans="1:4" x14ac:dyDescent="0.3">
      <c r="A195" s="2" t="str">
        <f>"3.1.6.00.03- IOF"</f>
        <v>3.1.6.00.03- IOF</v>
      </c>
      <c r="B195" s="9">
        <v>3917.58</v>
      </c>
      <c r="C195" s="9">
        <v>9266.67</v>
      </c>
      <c r="D195" s="9">
        <v>13184.25</v>
      </c>
    </row>
    <row r="196" spans="1:4" x14ac:dyDescent="0.3">
      <c r="A196" s="2" t="str">
        <f>"3.1.6.00.05- Contrib. Social s/lucro liquido"</f>
        <v>3.1.6.00.05- Contrib. Social s/lucro liquido</v>
      </c>
      <c r="B196" s="9">
        <v>61579.66</v>
      </c>
      <c r="C196" s="9">
        <v>0</v>
      </c>
      <c r="D196" s="9">
        <v>61579.66</v>
      </c>
    </row>
    <row r="197" spans="1:4" x14ac:dyDescent="0.3">
      <c r="A197" s="2" t="str">
        <f>"3.1.6.00.06- PIS"</f>
        <v>3.1.6.00.06- PIS</v>
      </c>
      <c r="B197" s="9">
        <v>134480.20000000001</v>
      </c>
      <c r="C197" s="9">
        <v>56933.98</v>
      </c>
      <c r="D197" s="9">
        <v>191414.18</v>
      </c>
    </row>
    <row r="198" spans="1:4" x14ac:dyDescent="0.3">
      <c r="A198" s="2" t="str">
        <f>"3.1.6.00.07- COFINS"</f>
        <v>3.1.6.00.07- COFINS</v>
      </c>
      <c r="B198" s="9">
        <v>619423.98</v>
      </c>
      <c r="C198" s="9">
        <v>262241.34999999998</v>
      </c>
      <c r="D198" s="9">
        <v>881665.33</v>
      </c>
    </row>
    <row r="199" spans="1:4" x14ac:dyDescent="0.3">
      <c r="A199" s="2" t="str">
        <f>"3.1.6.00.14- Contrib.entid.classe"</f>
        <v>3.1.6.00.14- Contrib.entid.classe</v>
      </c>
      <c r="B199" s="9">
        <v>4981.72</v>
      </c>
      <c r="C199" s="9">
        <v>0</v>
      </c>
      <c r="D199" s="9">
        <v>4981.72</v>
      </c>
    </row>
    <row r="200" spans="1:4" x14ac:dyDescent="0.3">
      <c r="A200" s="2" t="str">
        <f>"3.1.6.00.15- INSS Serv.terceiros"</f>
        <v>3.1.6.00.15- INSS Serv.terceiros</v>
      </c>
      <c r="B200" s="9">
        <v>17523.349999999999</v>
      </c>
      <c r="C200" s="9">
        <v>7992.82</v>
      </c>
      <c r="D200" s="9">
        <v>25516.17</v>
      </c>
    </row>
    <row r="201" spans="1:4" x14ac:dyDescent="0.3">
      <c r="A201" s="2" t="str">
        <f>"3.1.6.00.17- PIS s/ receitas financeiras"</f>
        <v>3.1.6.00.17- PIS s/ receitas financeiras</v>
      </c>
      <c r="B201" s="9">
        <v>2739.99</v>
      </c>
      <c r="C201" s="9">
        <v>1143.76</v>
      </c>
      <c r="D201" s="9">
        <v>3883.75</v>
      </c>
    </row>
    <row r="202" spans="1:4" x14ac:dyDescent="0.3">
      <c r="A202" s="2" t="str">
        <f>"3.1.6.00.18- Cofins s/ receitas financeiras"</f>
        <v>3.1.6.00.18- Cofins s/ receitas financeiras</v>
      </c>
      <c r="B202" s="9">
        <v>16861.52</v>
      </c>
      <c r="C202" s="9">
        <v>7038.49</v>
      </c>
      <c r="D202" s="9">
        <v>23900.01</v>
      </c>
    </row>
    <row r="203" spans="1:4" x14ac:dyDescent="0.3">
      <c r="A203" s="2" t="str">
        <f>"3.1.7.00.00- DESPESAS FINANCEIRAS"</f>
        <v>3.1.7.00.00- DESPESAS FINANCEIRAS</v>
      </c>
      <c r="B203" s="9">
        <v>342.42</v>
      </c>
      <c r="C203" s="9">
        <v>145.54</v>
      </c>
      <c r="D203" s="9">
        <v>487.96</v>
      </c>
    </row>
    <row r="204" spans="1:4" x14ac:dyDescent="0.3">
      <c r="A204" s="2" t="str">
        <f>"3.1.7.01.02- Despesas bancarias"</f>
        <v>3.1.7.01.02- Despesas bancarias</v>
      </c>
      <c r="B204" s="9">
        <v>342.42</v>
      </c>
      <c r="C204" s="9">
        <v>145.54</v>
      </c>
      <c r="D204" s="9">
        <v>487.96</v>
      </c>
    </row>
    <row r="205" spans="1:4" x14ac:dyDescent="0.3">
      <c r="A205" s="2" t="str">
        <f>"3.1.8.00.00- OUTRAS DESPESAS"</f>
        <v>3.1.8.00.00- OUTRAS DESPESAS</v>
      </c>
      <c r="B205" s="9">
        <v>1168554.46</v>
      </c>
      <c r="C205" s="9">
        <v>524364.04</v>
      </c>
      <c r="D205" s="9">
        <v>1692918.5</v>
      </c>
    </row>
    <row r="206" spans="1:4" x14ac:dyDescent="0.3">
      <c r="A206" s="2" t="str">
        <f>"3.1.8.00.01- Despesas de viagem"</f>
        <v>3.1.8.00.01- Despesas de viagem</v>
      </c>
      <c r="B206" s="9">
        <v>0</v>
      </c>
      <c r="C206" s="9">
        <v>1005</v>
      </c>
      <c r="D206" s="9">
        <v>1005</v>
      </c>
    </row>
    <row r="207" spans="1:4" x14ac:dyDescent="0.3">
      <c r="A207" s="2" t="str">
        <f>"3.1.8.00.03- Livros, jornais e revistas"</f>
        <v>3.1.8.00.03- Livros, jornais e revistas</v>
      </c>
      <c r="B207" s="9">
        <v>0</v>
      </c>
      <c r="C207" s="9">
        <v>26952.75</v>
      </c>
      <c r="D207" s="9">
        <v>26952.75</v>
      </c>
    </row>
    <row r="208" spans="1:4" x14ac:dyDescent="0.3">
      <c r="A208" s="2" t="str">
        <f>"3.1.8.00.05- Depreciacao/amort"</f>
        <v>3.1.8.00.05- Depreciacao/amort</v>
      </c>
      <c r="B208" s="9">
        <v>78643.320000000007</v>
      </c>
      <c r="C208" s="9">
        <v>25925.37</v>
      </c>
      <c r="D208" s="9">
        <v>104568.69</v>
      </c>
    </row>
    <row r="209" spans="1:4" x14ac:dyDescent="0.3">
      <c r="A209" s="2" t="str">
        <f>"3.1.8.00.06- Seguros bens moveis e imoveis"</f>
        <v>3.1.8.00.06- Seguros bens moveis e imoveis</v>
      </c>
      <c r="B209" s="9">
        <v>6113.37</v>
      </c>
      <c r="C209" s="9">
        <v>2450.94</v>
      </c>
      <c r="D209" s="9">
        <v>8564.31</v>
      </c>
    </row>
    <row r="210" spans="1:4" x14ac:dyDescent="0.3">
      <c r="A210" s="2" t="str">
        <f>"3.1.8.00.09- Multas e juros dedutiveis"</f>
        <v>3.1.8.00.09- Multas e juros dedutiveis</v>
      </c>
      <c r="B210" s="9">
        <v>1225.43</v>
      </c>
      <c r="C210" s="9">
        <v>0</v>
      </c>
      <c r="D210" s="9">
        <v>1225.43</v>
      </c>
    </row>
    <row r="211" spans="1:4" x14ac:dyDescent="0.3">
      <c r="A211" s="2" t="str">
        <f>"3.1.8.00.12- Acoes judiciais terceiros"</f>
        <v>3.1.8.00.12- Acoes judiciais terceiros</v>
      </c>
      <c r="B211" s="9">
        <v>4644</v>
      </c>
      <c r="C211" s="9">
        <v>4644</v>
      </c>
      <c r="D211" s="9">
        <v>9288</v>
      </c>
    </row>
    <row r="212" spans="1:4" x14ac:dyDescent="0.3">
      <c r="A212" s="2" t="str">
        <f>"3.1.8.00.16- Baixa de imobilizado"</f>
        <v>3.1.8.00.16- Baixa de imobilizado</v>
      </c>
      <c r="B212" s="9">
        <v>2609.42</v>
      </c>
      <c r="C212" s="9">
        <v>767.51</v>
      </c>
      <c r="D212" s="9">
        <v>3376.93</v>
      </c>
    </row>
    <row r="213" spans="1:4" x14ac:dyDescent="0.3">
      <c r="A213" s="2" t="str">
        <f>"3.1.8.00.23- Custas/Despesas Judiciais"</f>
        <v>3.1.8.00.23- Custas/Despesas Judiciais</v>
      </c>
      <c r="B213" s="9">
        <v>43722.42</v>
      </c>
      <c r="C213" s="9">
        <v>8072.7</v>
      </c>
      <c r="D213" s="9">
        <v>51795.12</v>
      </c>
    </row>
    <row r="214" spans="1:4" x14ac:dyDescent="0.3">
      <c r="A214" s="2" t="str">
        <f>"3.1.8.00.30- Estacionamento Rotativo Digital"</f>
        <v>3.1.8.00.30- Estacionamento Rotativo Digital</v>
      </c>
      <c r="B214" s="9">
        <v>991343.3</v>
      </c>
      <c r="C214" s="9">
        <v>451458.57</v>
      </c>
      <c r="D214" s="9">
        <v>1442801.87</v>
      </c>
    </row>
    <row r="215" spans="1:4" x14ac:dyDescent="0.3">
      <c r="A215" s="2" t="str">
        <f>"3.1.8.00.99- Despesas diversas"</f>
        <v>3.1.8.00.99- Despesas diversas</v>
      </c>
      <c r="B215" s="9">
        <v>40253.199999999997</v>
      </c>
      <c r="C215" s="9">
        <v>3087.2</v>
      </c>
      <c r="D215" s="9">
        <v>43340.4</v>
      </c>
    </row>
    <row r="216" spans="1:4" x14ac:dyDescent="0.3">
      <c r="A216" s="2" t="str">
        <f>""</f>
        <v/>
      </c>
      <c r="B216" s="3" t="str">
        <f>""</f>
        <v/>
      </c>
      <c r="C216" s="3" t="str">
        <f>""</f>
        <v/>
      </c>
      <c r="D216" s="3" t="str">
        <f>""</f>
        <v/>
      </c>
    </row>
    <row r="217" spans="1:4" x14ac:dyDescent="0.3">
      <c r="A217" s="2" t="str">
        <f>"RECEITAS"</f>
        <v>RECEITAS</v>
      </c>
      <c r="B217" s="3" t="str">
        <f>""</f>
        <v/>
      </c>
      <c r="C217" s="3" t="str">
        <f>""</f>
        <v/>
      </c>
      <c r="D217" s="3" t="str">
        <f>""</f>
        <v/>
      </c>
    </row>
    <row r="218" spans="1:4" x14ac:dyDescent="0.3">
      <c r="A218" s="2" t="str">
        <f>"4.0.0.00.00- RECEITAS"</f>
        <v>4.0.0.00.00- RECEITAS</v>
      </c>
      <c r="B218" s="9">
        <v>59277376.649999999</v>
      </c>
      <c r="C218" s="9">
        <v>20220772.379999999</v>
      </c>
      <c r="D218" s="9">
        <v>79498149.030000001</v>
      </c>
    </row>
    <row r="219" spans="1:4" x14ac:dyDescent="0.3">
      <c r="A219" s="2" t="str">
        <f>"4.1.0.00.00- RECEITAS BHTRANS"</f>
        <v>4.1.0.00.00- RECEITAS BHTRANS</v>
      </c>
      <c r="B219" s="9">
        <v>7770560.3899999997</v>
      </c>
      <c r="C219" s="9">
        <v>3425443.14</v>
      </c>
      <c r="D219" s="9">
        <v>11196003.529999999</v>
      </c>
    </row>
    <row r="220" spans="1:4" x14ac:dyDescent="0.3">
      <c r="A220" s="2" t="str">
        <f>"4.1.1.00.00- RECEITAS OPERACIONAIS"</f>
        <v>4.1.1.00.00- RECEITAS OPERACIONAIS</v>
      </c>
      <c r="B220" s="9">
        <v>7375500</v>
      </c>
      <c r="C220" s="9">
        <v>3343250</v>
      </c>
      <c r="D220" s="9">
        <v>10718750</v>
      </c>
    </row>
    <row r="221" spans="1:4" x14ac:dyDescent="0.3">
      <c r="A221" s="2" t="str">
        <f>"4.1.1.00.18- Transf. financeira Convenios divervos"</f>
        <v>4.1.1.00.18- Transf. financeira Convenios divervos</v>
      </c>
      <c r="B221" s="9">
        <v>0</v>
      </c>
      <c r="C221" s="9">
        <v>200000</v>
      </c>
      <c r="D221" s="9">
        <v>200000</v>
      </c>
    </row>
    <row r="222" spans="1:4" x14ac:dyDescent="0.3">
      <c r="A222" s="2" t="str">
        <f>"4.1.1.00.21- Estacionamento Rotativo Digital"</f>
        <v>4.1.1.00.21- Estacionamento Rotativo Digital</v>
      </c>
      <c r="B222" s="9">
        <v>7375500</v>
      </c>
      <c r="C222" s="9">
        <v>3143250</v>
      </c>
      <c r="D222" s="9">
        <v>10518750</v>
      </c>
    </row>
    <row r="223" spans="1:4" x14ac:dyDescent="0.3">
      <c r="A223" s="2" t="str">
        <f>"4.1.8.00.00- RECEITAS ALUGUEIS ESTACOES"</f>
        <v>4.1.8.00.00- RECEITAS ALUGUEIS ESTACOES</v>
      </c>
      <c r="B223" s="9">
        <v>395060.39</v>
      </c>
      <c r="C223" s="9">
        <v>82193.14</v>
      </c>
      <c r="D223" s="9">
        <v>477253.53</v>
      </c>
    </row>
    <row r="224" spans="1:4" x14ac:dyDescent="0.3">
      <c r="A224" s="2" t="str">
        <f>"4.1.8.00.01- Alugueis Estacoes"</f>
        <v>4.1.8.00.01- Alugueis Estacoes</v>
      </c>
      <c r="B224" s="9">
        <v>395060.39</v>
      </c>
      <c r="C224" s="9">
        <v>82193.14</v>
      </c>
      <c r="D224" s="9">
        <v>477253.53</v>
      </c>
    </row>
    <row r="225" spans="1:4" x14ac:dyDescent="0.3">
      <c r="A225" s="2" t="str">
        <f>"4.2.0.00.00- RECEITAS FINANCEIRAS"</f>
        <v>4.2.0.00.00- RECEITAS FINANCEIRAS</v>
      </c>
      <c r="B225" s="9">
        <v>421537.9</v>
      </c>
      <c r="C225" s="9">
        <v>175962.34</v>
      </c>
      <c r="D225" s="9">
        <v>597500.24</v>
      </c>
    </row>
    <row r="226" spans="1:4" x14ac:dyDescent="0.3">
      <c r="A226" s="2" t="str">
        <f>"4.2.1.00.00- RECEITAS FINANCEIRAS"</f>
        <v>4.2.1.00.00- RECEITAS FINANCEIRAS</v>
      </c>
      <c r="B226" s="9">
        <v>421537.9</v>
      </c>
      <c r="C226" s="9">
        <v>175962.34</v>
      </c>
      <c r="D226" s="9">
        <v>597500.24</v>
      </c>
    </row>
    <row r="227" spans="1:4" x14ac:dyDescent="0.3">
      <c r="A227" s="2" t="str">
        <f>"4.2.1.00.01- Rendimentos aplic. Financeira"</f>
        <v>4.2.1.00.01- Rendimentos aplic. Financeira</v>
      </c>
      <c r="B227" s="9">
        <v>413877.25</v>
      </c>
      <c r="C227" s="9">
        <v>175962.34</v>
      </c>
      <c r="D227" s="9">
        <v>589839.59</v>
      </c>
    </row>
    <row r="228" spans="1:4" x14ac:dyDescent="0.3">
      <c r="A228" s="2" t="str">
        <f>"4.2.1.00.05- Receitas Financeiras"</f>
        <v>4.2.1.00.05- Receitas Financeiras</v>
      </c>
      <c r="B228" s="9">
        <v>7660.65</v>
      </c>
      <c r="C228" s="9">
        <v>0</v>
      </c>
      <c r="D228" s="9">
        <v>7660.65</v>
      </c>
    </row>
    <row r="229" spans="1:4" x14ac:dyDescent="0.3">
      <c r="A229" s="2" t="str">
        <f>"4.3.0.00.00- OUTRAS RECEITAS"</f>
        <v>4.3.0.00.00- OUTRAS RECEITAS</v>
      </c>
      <c r="B229" s="9">
        <v>51085278.359999999</v>
      </c>
      <c r="C229" s="9">
        <v>16619366.9</v>
      </c>
      <c r="D229" s="9">
        <v>67704645.260000005</v>
      </c>
    </row>
    <row r="230" spans="1:4" x14ac:dyDescent="0.3">
      <c r="A230" s="2" t="str">
        <f>"4.3.1.00.00- OUTRAS RECEITAS"</f>
        <v>4.3.1.00.00- OUTRAS RECEITAS</v>
      </c>
      <c r="B230" s="9">
        <v>51085278.359999999</v>
      </c>
      <c r="C230" s="9">
        <v>16619366.9</v>
      </c>
      <c r="D230" s="9">
        <v>67704645.260000005</v>
      </c>
    </row>
    <row r="231" spans="1:4" x14ac:dyDescent="0.3">
      <c r="A231" s="2" t="str">
        <f>"4.3.1.00.04- Receitas Diversas"</f>
        <v>4.3.1.00.04- Receitas Diversas</v>
      </c>
      <c r="B231" s="9">
        <v>379755.23</v>
      </c>
      <c r="C231" s="9">
        <v>25100.98</v>
      </c>
      <c r="D231" s="9">
        <v>404856.21</v>
      </c>
    </row>
    <row r="232" spans="1:4" x14ac:dyDescent="0.3">
      <c r="A232" s="2" t="str">
        <f>"4.3.1.00.10- Outras Receitas- Subvenção Econ. Custeio"</f>
        <v>4.3.1.00.10- Outras Receitas- Subvenção Econ. Custeio</v>
      </c>
      <c r="B232" s="9">
        <v>50705523.130000003</v>
      </c>
      <c r="C232" s="9">
        <v>16594265.92</v>
      </c>
      <c r="D232" s="9">
        <v>67299789.049999997</v>
      </c>
    </row>
    <row r="233" spans="1:4" x14ac:dyDescent="0.3">
      <c r="A233" s="2" t="str">
        <f>""</f>
        <v/>
      </c>
      <c r="B233" s="3" t="str">
        <f>""</f>
        <v/>
      </c>
      <c r="C233" s="3" t="str">
        <f>""</f>
        <v/>
      </c>
      <c r="D233" s="3" t="str">
        <f>""</f>
        <v/>
      </c>
    </row>
    <row r="234" spans="1:4" x14ac:dyDescent="0.3">
      <c r="A234" s="2" t="str">
        <f>"APURACAO DE RESULTADOS"</f>
        <v>APURACAO DE RESULTADOS</v>
      </c>
      <c r="B234" s="3" t="str">
        <f>""</f>
        <v/>
      </c>
      <c r="C234" s="3" t="str">
        <f>""</f>
        <v/>
      </c>
      <c r="D234" s="3" t="str">
        <f>""</f>
        <v/>
      </c>
    </row>
    <row r="235" spans="1:4" x14ac:dyDescent="0.3">
      <c r="A235" s="2" t="str">
        <f>"5.0.0.00.00- APURACAO DE RESULTADOS"</f>
        <v>5.0.0.00.00- APURACAO DE RESULTADOS</v>
      </c>
      <c r="B235" s="9">
        <v>-1480210.24</v>
      </c>
      <c r="C235" s="9">
        <v>-362486.02</v>
      </c>
      <c r="D235" s="9">
        <v>-1842696.26</v>
      </c>
    </row>
    <row r="236" spans="1:4" x14ac:dyDescent="0.3">
      <c r="A236" s="2" t="str">
        <f>"5.1.0.00.00- APURACAO DE RESULTADOS"</f>
        <v>5.1.0.00.00- APURACAO DE RESULTADOS</v>
      </c>
      <c r="B236" s="9">
        <v>-1480210.24</v>
      </c>
      <c r="C236" s="9">
        <v>-362486.02</v>
      </c>
      <c r="D236" s="9">
        <v>-1842696.26</v>
      </c>
    </row>
    <row r="237" spans="1:4" x14ac:dyDescent="0.3">
      <c r="A237" s="2" t="str">
        <f>"5.1.1.00.00- APURACAO DE RESULTADOS"</f>
        <v>5.1.1.00.00- APURACAO DE RESULTADOS</v>
      </c>
      <c r="B237" s="9">
        <v>-1480210.24</v>
      </c>
      <c r="C237" s="9">
        <v>-362486.02</v>
      </c>
      <c r="D237" s="9">
        <v>-1842696.26</v>
      </c>
    </row>
    <row r="238" spans="1:4" x14ac:dyDescent="0.3">
      <c r="A238" s="2" t="str">
        <f>"5.1.1.00.01- Transferencia das Despesas"</f>
        <v>5.1.1.00.01- Transferencia das Despesas</v>
      </c>
      <c r="B238" s="9">
        <v>-60757586.890000001</v>
      </c>
      <c r="C238" s="9">
        <v>-20583258.399999999</v>
      </c>
      <c r="D238" s="9">
        <v>-81340845.290000007</v>
      </c>
    </row>
    <row r="239" spans="1:4" ht="15" thickBot="1" x14ac:dyDescent="0.35">
      <c r="A239" s="4" t="str">
        <f>"5.1.1.00.02- Transferencia das Receitas"</f>
        <v>5.1.1.00.02- Transferencia das Receitas</v>
      </c>
      <c r="B239" s="10">
        <v>59277376.649999999</v>
      </c>
      <c r="C239" s="10">
        <v>20220772.379999999</v>
      </c>
      <c r="D239" s="10">
        <v>79498149.030000001</v>
      </c>
    </row>
    <row r="240" spans="1:4" x14ac:dyDescent="0.3">
      <c r="A240" t="s">
        <v>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1FB1E-F746-4120-8AA3-F35EAF0A3629}">
  <dimension ref="A1:D244"/>
  <sheetViews>
    <sheetView workbookViewId="0"/>
  </sheetViews>
  <sheetFormatPr defaultRowHeight="14.4" x14ac:dyDescent="0.3"/>
  <cols>
    <col min="1" max="1" width="68.88671875" bestFit="1" customWidth="1"/>
    <col min="2" max="2" width="14.33203125" bestFit="1" customWidth="1"/>
    <col min="3" max="3" width="13.33203125" bestFit="1" customWidth="1"/>
    <col min="4" max="4" width="14.33203125" bestFit="1" customWidth="1"/>
  </cols>
  <sheetData>
    <row r="1" spans="1:4" ht="18.600000000000001" thickBot="1" x14ac:dyDescent="0.4">
      <c r="A1" s="1" t="s">
        <v>9</v>
      </c>
      <c r="B1" s="1"/>
      <c r="C1" s="1"/>
      <c r="D1" s="1"/>
    </row>
    <row r="2" spans="1:4" ht="15" thickBot="1" x14ac:dyDescent="0.35">
      <c r="A2" s="7" t="s">
        <v>1</v>
      </c>
      <c r="B2" s="8" t="s">
        <v>2</v>
      </c>
      <c r="C2" s="8" t="s">
        <v>3</v>
      </c>
      <c r="D2" s="8" t="s">
        <v>4</v>
      </c>
    </row>
    <row r="3" spans="1:4" x14ac:dyDescent="0.3">
      <c r="A3" s="5" t="str">
        <f>"ATIVO"</f>
        <v>ATIVO</v>
      </c>
      <c r="B3" s="6" t="str">
        <f>""</f>
        <v/>
      </c>
      <c r="C3" s="6" t="str">
        <f>""</f>
        <v/>
      </c>
      <c r="D3" s="6" t="str">
        <f>""</f>
        <v/>
      </c>
    </row>
    <row r="4" spans="1:4" x14ac:dyDescent="0.3">
      <c r="A4" s="2" t="str">
        <f>"1.0.0.00.00- ATIVO"</f>
        <v>1.0.0.00.00- ATIVO</v>
      </c>
      <c r="B4" s="9">
        <v>62035476.07</v>
      </c>
      <c r="C4" s="9">
        <v>2566057.33</v>
      </c>
      <c r="D4" s="9">
        <v>64601533.399999999</v>
      </c>
    </row>
    <row r="5" spans="1:4" x14ac:dyDescent="0.3">
      <c r="A5" s="2" t="str">
        <f>"1.1.0.00.00- ATIVO CIRCULANTE"</f>
        <v>1.1.0.00.00- ATIVO CIRCULANTE</v>
      </c>
      <c r="B5" s="9">
        <v>28041236.850000001</v>
      </c>
      <c r="C5" s="9">
        <v>2864011.72</v>
      </c>
      <c r="D5" s="9">
        <v>30905248.57</v>
      </c>
    </row>
    <row r="6" spans="1:4" x14ac:dyDescent="0.3">
      <c r="A6" s="2" t="str">
        <f>"1.1.1.00.00- DISPONIVEL"</f>
        <v>1.1.1.00.00- DISPONIVEL</v>
      </c>
      <c r="B6" s="9">
        <v>19771603.800000001</v>
      </c>
      <c r="C6" s="9">
        <v>3045282.58</v>
      </c>
      <c r="D6" s="9">
        <v>22816886.379999999</v>
      </c>
    </row>
    <row r="7" spans="1:4" x14ac:dyDescent="0.3">
      <c r="A7" s="2" t="str">
        <f>"1.1.1.02.00- BANCOS C/MOVIMENTO"</f>
        <v>1.1.1.02.00- BANCOS C/MOVIMENTO</v>
      </c>
      <c r="B7" s="9">
        <v>52731.41</v>
      </c>
      <c r="C7" s="9">
        <v>438312.67</v>
      </c>
      <c r="D7" s="9">
        <v>491044.08</v>
      </c>
    </row>
    <row r="8" spans="1:4" x14ac:dyDescent="0.3">
      <c r="A8" s="2" t="str">
        <f>"1.1.1.02.31- Caixa Econômica Federal - 94511-6 - ROT"</f>
        <v>1.1.1.02.31- Caixa Econômica Federal - 94511-6 - ROT</v>
      </c>
      <c r="B8" s="9">
        <v>52731.41</v>
      </c>
      <c r="C8" s="9">
        <v>438312.67</v>
      </c>
      <c r="D8" s="9">
        <v>491044.08</v>
      </c>
    </row>
    <row r="9" spans="1:4" x14ac:dyDescent="0.3">
      <c r="A9" s="2" t="str">
        <f>"1.1.1.03.00- APLICACOES FINANCEIRAS"</f>
        <v>1.1.1.03.00- APLICACOES FINANCEIRAS</v>
      </c>
      <c r="B9" s="9">
        <v>17924053.550000001</v>
      </c>
      <c r="C9" s="9">
        <v>2602587.09</v>
      </c>
      <c r="D9" s="9">
        <v>20526640.640000001</v>
      </c>
    </row>
    <row r="10" spans="1:4" x14ac:dyDescent="0.3">
      <c r="A10" s="2" t="str">
        <f>"1.1.1.03.22- Caixa Econômica Federal - 94505-1"</f>
        <v>1.1.1.03.22- Caixa Econômica Federal - 94505-1</v>
      </c>
      <c r="B10" s="9">
        <v>3110236.49</v>
      </c>
      <c r="C10" s="9">
        <v>-2040311.53</v>
      </c>
      <c r="D10" s="9">
        <v>1069924.96</v>
      </c>
    </row>
    <row r="11" spans="1:4" x14ac:dyDescent="0.3">
      <c r="A11" s="2" t="str">
        <f>"1.1.1.03.23- Caixa Econômica Federal - 94506-0"</f>
        <v>1.1.1.03.23- Caixa Econômica Federal - 94506-0</v>
      </c>
      <c r="B11" s="9">
        <v>14523007.35</v>
      </c>
      <c r="C11" s="9">
        <v>4642602.7300000004</v>
      </c>
      <c r="D11" s="9">
        <v>19165610.079999998</v>
      </c>
    </row>
    <row r="12" spans="1:4" x14ac:dyDescent="0.3">
      <c r="A12" s="2" t="str">
        <f>"1.1.1.03.32- Caixa Econômica Federal - 94513-2 Mídia"</f>
        <v>1.1.1.03.32- Caixa Econômica Federal - 94513-2 Mídia</v>
      </c>
      <c r="B12" s="9">
        <v>132578.66</v>
      </c>
      <c r="C12" s="9">
        <v>339.89</v>
      </c>
      <c r="D12" s="9">
        <v>132918.54999999999</v>
      </c>
    </row>
    <row r="13" spans="1:4" x14ac:dyDescent="0.3">
      <c r="A13" s="2" t="str">
        <f>"1.1.1.03.36- Caixa Econômica Federal - 94528-0 Sucumb"</f>
        <v>1.1.1.03.36- Caixa Econômica Federal - 94528-0 Sucumb</v>
      </c>
      <c r="B13" s="9">
        <v>144641.71</v>
      </c>
      <c r="C13" s="9">
        <v>-44</v>
      </c>
      <c r="D13" s="9">
        <v>144597.71</v>
      </c>
    </row>
    <row r="14" spans="1:4" x14ac:dyDescent="0.3">
      <c r="A14" s="2" t="str">
        <f>"1.1.1.03.49- Caixa Econômica Federal - 744797076-0"</f>
        <v>1.1.1.03.49- Caixa Econômica Federal - 744797076-0</v>
      </c>
      <c r="B14" s="9">
        <v>13589.34</v>
      </c>
      <c r="C14" s="9">
        <v>0</v>
      </c>
      <c r="D14" s="9">
        <v>13589.34</v>
      </c>
    </row>
    <row r="15" spans="1:4" x14ac:dyDescent="0.3">
      <c r="A15" s="2" t="str">
        <f>"1.1.1.04.00- BANCOS C/VINCULADA"</f>
        <v>1.1.1.04.00- BANCOS C/VINCULADA</v>
      </c>
      <c r="B15" s="9">
        <v>1594818.84</v>
      </c>
      <c r="C15" s="9">
        <v>2462.0300000000002</v>
      </c>
      <c r="D15" s="9">
        <v>1597280.87</v>
      </c>
    </row>
    <row r="16" spans="1:4" x14ac:dyDescent="0.3">
      <c r="A16" s="2" t="str">
        <f>"1.1.1.04.10- Caixa Econômica Federal - 94521-3 Caução"</f>
        <v>1.1.1.04.10- Caixa Econômica Federal - 94521-3 Caução</v>
      </c>
      <c r="B16" s="9">
        <v>144252.69</v>
      </c>
      <c r="C16" s="9">
        <v>-576.5</v>
      </c>
      <c r="D16" s="9">
        <v>143676.19</v>
      </c>
    </row>
    <row r="17" spans="1:4" x14ac:dyDescent="0.3">
      <c r="A17" s="2" t="str">
        <f>"1.1.1.04.12- Caixa Econômica Federal - 94627-9 Leilão"</f>
        <v>1.1.1.04.12- Caixa Econômica Federal - 94627-9 Leilão</v>
      </c>
      <c r="B17" s="9">
        <v>1450566.15</v>
      </c>
      <c r="C17" s="9">
        <v>3038.53</v>
      </c>
      <c r="D17" s="9">
        <v>1453604.68</v>
      </c>
    </row>
    <row r="18" spans="1:4" x14ac:dyDescent="0.3">
      <c r="A18" s="2" t="str">
        <f>"1.1.1.05.00- BANCOS C/VINCULAD-CONVENIO"</f>
        <v>1.1.1.05.00- BANCOS C/VINCULAD-CONVENIO</v>
      </c>
      <c r="B18" s="9">
        <v>200000</v>
      </c>
      <c r="C18" s="9">
        <v>1920.79</v>
      </c>
      <c r="D18" s="9">
        <v>201920.79</v>
      </c>
    </row>
    <row r="19" spans="1:4" x14ac:dyDescent="0.3">
      <c r="A19" s="2" t="str">
        <f>"1.1.1.05.29- Projeto Vida no Trânsito 576371382-2 APL"</f>
        <v>1.1.1.05.29- Projeto Vida no Trânsito 576371382-2 APL</v>
      </c>
      <c r="B19" s="9">
        <v>200000</v>
      </c>
      <c r="C19" s="9">
        <v>1920.79</v>
      </c>
      <c r="D19" s="9">
        <v>201920.79</v>
      </c>
    </row>
    <row r="20" spans="1:4" x14ac:dyDescent="0.3">
      <c r="A20" s="2" t="str">
        <f>"1.1.2.00.00- REALIZAVEL A CURTO PRAZO"</f>
        <v>1.1.2.00.00- REALIZAVEL A CURTO PRAZO</v>
      </c>
      <c r="B20" s="9">
        <v>8269633.0499999998</v>
      </c>
      <c r="C20" s="9">
        <v>-181270.86</v>
      </c>
      <c r="D20" s="9">
        <v>8088362.1900000004</v>
      </c>
    </row>
    <row r="21" spans="1:4" x14ac:dyDescent="0.3">
      <c r="A21" s="2" t="str">
        <f>"1.1.2.01.00- CONTAS A RECEBER"</f>
        <v>1.1.2.01.00- CONTAS A RECEBER</v>
      </c>
      <c r="B21" s="9">
        <v>253567.34</v>
      </c>
      <c r="C21" s="9">
        <v>0</v>
      </c>
      <c r="D21" s="9">
        <v>253567.34</v>
      </c>
    </row>
    <row r="22" spans="1:4" x14ac:dyDescent="0.3">
      <c r="A22" s="2" t="str">
        <f>"1.1.2.01.94- Midia Onibus a Receber"</f>
        <v>1.1.2.01.94- Midia Onibus a Receber</v>
      </c>
      <c r="B22" s="9">
        <v>253567.34</v>
      </c>
      <c r="C22" s="9">
        <v>0</v>
      </c>
      <c r="D22" s="9">
        <v>253567.34</v>
      </c>
    </row>
    <row r="23" spans="1:4" x14ac:dyDescent="0.3">
      <c r="A23" s="2" t="str">
        <f>"1.1.2.06.00- ADIANTAMENTO A EMPREGADOS"</f>
        <v>1.1.2.06.00- ADIANTAMENTO A EMPREGADOS</v>
      </c>
      <c r="B23" s="9">
        <v>2685900.13</v>
      </c>
      <c r="C23" s="9">
        <v>-73341.960000000006</v>
      </c>
      <c r="D23" s="9">
        <v>2612558.17</v>
      </c>
    </row>
    <row r="24" spans="1:4" x14ac:dyDescent="0.3">
      <c r="A24" s="2" t="str">
        <f>"1.1.2.06.01- Adiantamento de Ferias"</f>
        <v>1.1.2.06.01- Adiantamento de Ferias</v>
      </c>
      <c r="B24" s="9">
        <v>1099918.02</v>
      </c>
      <c r="C24" s="9">
        <v>-262813.78999999998</v>
      </c>
      <c r="D24" s="9">
        <v>837104.23</v>
      </c>
    </row>
    <row r="25" spans="1:4" x14ac:dyDescent="0.3">
      <c r="A25" s="2" t="str">
        <f>"1.1.2.06.02- Adiantamento de 13. Salario"</f>
        <v>1.1.2.06.02- Adiantamento de 13. Salario</v>
      </c>
      <c r="B25" s="9">
        <v>1494472.85</v>
      </c>
      <c r="C25" s="9">
        <v>196767.66</v>
      </c>
      <c r="D25" s="9">
        <v>1691240.51</v>
      </c>
    </row>
    <row r="26" spans="1:4" x14ac:dyDescent="0.3">
      <c r="A26" s="2" t="str">
        <f>"1.1.2.06.03- Adiant. de Salario/Parc. Ferias"</f>
        <v>1.1.2.06.03- Adiant. de Salario/Parc. Ferias</v>
      </c>
      <c r="B26" s="9">
        <v>88793.79</v>
      </c>
      <c r="C26" s="9">
        <v>-13541.47</v>
      </c>
      <c r="D26" s="9">
        <v>75252.320000000007</v>
      </c>
    </row>
    <row r="27" spans="1:4" x14ac:dyDescent="0.3">
      <c r="A27" s="2" t="str">
        <f>"1.1.2.06.07- Adiantamento Pensao s/ Ferias"</f>
        <v>1.1.2.06.07- Adiantamento Pensao s/ Ferias</v>
      </c>
      <c r="B27" s="9">
        <v>2715.47</v>
      </c>
      <c r="C27" s="9">
        <v>6245.64</v>
      </c>
      <c r="D27" s="9">
        <v>8961.11</v>
      </c>
    </row>
    <row r="28" spans="1:4" x14ac:dyDescent="0.3">
      <c r="A28" s="2" t="str">
        <f>"1.1.2.08.00- ALMOXARIFADO"</f>
        <v>1.1.2.08.00- ALMOXARIFADO</v>
      </c>
      <c r="B28" s="9">
        <v>577061.6</v>
      </c>
      <c r="C28" s="9">
        <v>4188.8599999999997</v>
      </c>
      <c r="D28" s="9">
        <v>581250.46</v>
      </c>
    </row>
    <row r="29" spans="1:4" x14ac:dyDescent="0.3">
      <c r="A29" s="2" t="str">
        <f>"1.1.2.08.01- Material em Estoque"</f>
        <v>1.1.2.08.01- Material em Estoque</v>
      </c>
      <c r="B29" s="9">
        <v>577083.17000000004</v>
      </c>
      <c r="C29" s="9">
        <v>4167.29</v>
      </c>
      <c r="D29" s="9">
        <v>581250.46</v>
      </c>
    </row>
    <row r="30" spans="1:4" x14ac:dyDescent="0.3">
      <c r="A30" s="2" t="str">
        <f>"1.1.2.08.99- Ajuste de Preco Medio"</f>
        <v>1.1.2.08.99- Ajuste de Preco Medio</v>
      </c>
      <c r="B30" s="9">
        <v>-21.57</v>
      </c>
      <c r="C30" s="9">
        <v>21.57</v>
      </c>
      <c r="D30" s="9">
        <v>0</v>
      </c>
    </row>
    <row r="31" spans="1:4" x14ac:dyDescent="0.3">
      <c r="A31" s="2" t="str">
        <f>"1.1.2.10.00- IMPOSTOS E CONTRIB.A RECUPERAR"</f>
        <v>1.1.2.10.00- IMPOSTOS E CONTRIB.A RECUPERAR</v>
      </c>
      <c r="B31" s="9">
        <v>4839583.92</v>
      </c>
      <c r="C31" s="9">
        <v>114761.84</v>
      </c>
      <c r="D31" s="9">
        <v>4954345.76</v>
      </c>
    </row>
    <row r="32" spans="1:4" x14ac:dyDescent="0.3">
      <c r="A32" s="2" t="str">
        <f>"1.1.2.10.01- IR s/Aplicacao Financeira"</f>
        <v>1.1.2.10.01- IR s/Aplicacao Financeira</v>
      </c>
      <c r="B32" s="9">
        <v>406243.73</v>
      </c>
      <c r="C32" s="9">
        <v>68943.48</v>
      </c>
      <c r="D32" s="9">
        <v>475187.21</v>
      </c>
    </row>
    <row r="33" spans="1:4" x14ac:dyDescent="0.3">
      <c r="A33" s="2" t="str">
        <f>"1.1.2.10.15- Cofins a Compensar"</f>
        <v>1.1.2.10.15- Cofins a Compensar</v>
      </c>
      <c r="B33" s="9">
        <v>3631450.36</v>
      </c>
      <c r="C33" s="9">
        <v>37227.1</v>
      </c>
      <c r="D33" s="9">
        <v>3668677.46</v>
      </c>
    </row>
    <row r="34" spans="1:4" x14ac:dyDescent="0.3">
      <c r="A34" s="2" t="str">
        <f>"1.1.2.10.16- PIS a Compensar"</f>
        <v>1.1.2.10.16- PIS a Compensar</v>
      </c>
      <c r="B34" s="9">
        <v>801889.83</v>
      </c>
      <c r="C34" s="9">
        <v>8591.26</v>
      </c>
      <c r="D34" s="9">
        <v>810481.09</v>
      </c>
    </row>
    <row r="35" spans="1:4" x14ac:dyDescent="0.3">
      <c r="A35" s="2" t="str">
        <f>"1.1.2.11.00- DESPESAS ANTECIPADAS"</f>
        <v>1.1.2.11.00- DESPESAS ANTECIPADAS</v>
      </c>
      <c r="B35" s="9">
        <v>7605.46</v>
      </c>
      <c r="C35" s="9">
        <v>-2311.92</v>
      </c>
      <c r="D35" s="9">
        <v>5293.54</v>
      </c>
    </row>
    <row r="36" spans="1:4" x14ac:dyDescent="0.3">
      <c r="A36" s="2" t="str">
        <f>"1.1.2.11.01- Premios de Seguros a Vencer"</f>
        <v>1.1.2.11.01- Premios de Seguros a Vencer</v>
      </c>
      <c r="B36" s="9">
        <v>7605.46</v>
      </c>
      <c r="C36" s="9">
        <v>-2311.92</v>
      </c>
      <c r="D36" s="9">
        <v>5293.54</v>
      </c>
    </row>
    <row r="37" spans="1:4" x14ac:dyDescent="0.3">
      <c r="A37" s="2" t="str">
        <f>"1.1.2.14.00- CONTAS TRANSITORIAS - GRUPO ATIVO"</f>
        <v>1.1.2.14.00- CONTAS TRANSITORIAS - GRUPO ATIVO</v>
      </c>
      <c r="B37" s="9">
        <v>-94085.4</v>
      </c>
      <c r="C37" s="9">
        <v>-224567.67999999999</v>
      </c>
      <c r="D37" s="9">
        <v>-318653.08</v>
      </c>
    </row>
    <row r="38" spans="1:4" x14ac:dyDescent="0.3">
      <c r="A38" s="2" t="str">
        <f>"1.1.2.14.07- Transitoria de Imposto"</f>
        <v>1.1.2.14.07- Transitoria de Imposto</v>
      </c>
      <c r="B38" s="9">
        <v>-94085.4</v>
      </c>
      <c r="C38" s="9">
        <v>-224567.67999999999</v>
      </c>
      <c r="D38" s="9">
        <v>-318653.08</v>
      </c>
    </row>
    <row r="39" spans="1:4" x14ac:dyDescent="0.3">
      <c r="A39" s="2" t="str">
        <f>"1.2.0.00.00- ATIVO NAO CIRCULANTE"</f>
        <v>1.2.0.00.00- ATIVO NAO CIRCULANTE</v>
      </c>
      <c r="B39" s="9">
        <v>33994239.219999999</v>
      </c>
      <c r="C39" s="9">
        <v>-297954.39</v>
      </c>
      <c r="D39" s="9">
        <v>33696284.829999998</v>
      </c>
    </row>
    <row r="40" spans="1:4" x14ac:dyDescent="0.3">
      <c r="A40" s="2" t="str">
        <f>"1.2.1.00.00- REALIZAVEL A LONGO PRAZO"</f>
        <v>1.2.1.00.00- REALIZAVEL A LONGO PRAZO</v>
      </c>
      <c r="B40" s="9">
        <v>32752512.620000001</v>
      </c>
      <c r="C40" s="9">
        <v>-272252.14</v>
      </c>
      <c r="D40" s="9">
        <v>32480260.48</v>
      </c>
    </row>
    <row r="41" spans="1:4" x14ac:dyDescent="0.3">
      <c r="A41" s="2" t="str">
        <f>"1.2.1.01.00- CREDITOS E VALORES A RECEBER"</f>
        <v>1.2.1.01.00- CREDITOS E VALORES A RECEBER</v>
      </c>
      <c r="B41" s="9">
        <v>32752512.620000001</v>
      </c>
      <c r="C41" s="9">
        <v>-272252.14</v>
      </c>
      <c r="D41" s="9">
        <v>32480260.48</v>
      </c>
    </row>
    <row r="42" spans="1:4" x14ac:dyDescent="0.3">
      <c r="A42" s="2" t="str">
        <f>"1.2.1.01.01- Depositos Judiciais"</f>
        <v>1.2.1.01.01- Depositos Judiciais</v>
      </c>
      <c r="B42" s="9">
        <v>693042.09</v>
      </c>
      <c r="C42" s="9">
        <v>-272252.14</v>
      </c>
      <c r="D42" s="9">
        <v>420789.95</v>
      </c>
    </row>
    <row r="43" spans="1:4" x14ac:dyDescent="0.3">
      <c r="A43" s="2" t="str">
        <f>"1.2.1.01.04- Convenio Prefeitura Betim"</f>
        <v>1.2.1.01.04- Convenio Prefeitura Betim</v>
      </c>
      <c r="B43" s="9">
        <v>891.18</v>
      </c>
      <c r="C43" s="9">
        <v>0</v>
      </c>
      <c r="D43" s="9">
        <v>891.18</v>
      </c>
    </row>
    <row r="44" spans="1:4" x14ac:dyDescent="0.3">
      <c r="A44" s="2" t="str">
        <f>"1.2.1.01.05- Convenio IPSEMG"</f>
        <v>1.2.1.01.05- Convenio IPSEMG</v>
      </c>
      <c r="B44" s="9">
        <v>21163.53</v>
      </c>
      <c r="C44" s="9">
        <v>0</v>
      </c>
      <c r="D44" s="9">
        <v>21163.53</v>
      </c>
    </row>
    <row r="45" spans="1:4" x14ac:dyDescent="0.3">
      <c r="A45" s="2" t="str">
        <f>"1.2.1.01.06- Multas Transporte Coletivo"</f>
        <v>1.2.1.01.06- Multas Transporte Coletivo</v>
      </c>
      <c r="B45" s="9">
        <v>40046769.780000001</v>
      </c>
      <c r="C45" s="9">
        <v>0</v>
      </c>
      <c r="D45" s="9">
        <v>40046769.780000001</v>
      </c>
    </row>
    <row r="46" spans="1:4" x14ac:dyDescent="0.3">
      <c r="A46" s="2" t="str">
        <f>"1.2.1.01.07- (-) Provisao para Perdas"</f>
        <v>1.2.1.01.07- (-) Provisao para Perdas</v>
      </c>
      <c r="B46" s="9">
        <v>-8009353.96</v>
      </c>
      <c r="C46" s="9">
        <v>0</v>
      </c>
      <c r="D46" s="9">
        <v>-8009353.96</v>
      </c>
    </row>
    <row r="47" spans="1:4" x14ac:dyDescent="0.3">
      <c r="A47" s="2" t="str">
        <f>"1.3.1.00.00- INVESTIMENTOS"</f>
        <v>1.3.1.00.00- INVESTIMENTOS</v>
      </c>
      <c r="B47" s="9">
        <v>26152.19</v>
      </c>
      <c r="C47" s="9">
        <v>0</v>
      </c>
      <c r="D47" s="9">
        <v>26152.19</v>
      </c>
    </row>
    <row r="48" spans="1:4" x14ac:dyDescent="0.3">
      <c r="A48" s="2" t="str">
        <f>"1.3.1.01.00- OUTROS INVESTIMENTOS"</f>
        <v>1.3.1.01.00- OUTROS INVESTIMENTOS</v>
      </c>
      <c r="B48" s="9">
        <v>26152.19</v>
      </c>
      <c r="C48" s="9">
        <v>0</v>
      </c>
      <c r="D48" s="9">
        <v>26152.19</v>
      </c>
    </row>
    <row r="49" spans="1:4" x14ac:dyDescent="0.3">
      <c r="A49" s="2" t="str">
        <f>"1.3.1.01.01- Obras de Arte"</f>
        <v>1.3.1.01.01- Obras de Arte</v>
      </c>
      <c r="B49" s="9">
        <v>25200</v>
      </c>
      <c r="C49" s="9">
        <v>0</v>
      </c>
      <c r="D49" s="9">
        <v>25200</v>
      </c>
    </row>
    <row r="50" spans="1:4" x14ac:dyDescent="0.3">
      <c r="A50" s="2" t="str">
        <f>"1.3.1.01.02- Participações Societárias - PBH ATIVOS"</f>
        <v>1.3.1.01.02- Participações Societárias - PBH ATIVOS</v>
      </c>
      <c r="B50" s="9">
        <v>952.19</v>
      </c>
      <c r="C50" s="9">
        <v>0</v>
      </c>
      <c r="D50" s="9">
        <v>952.19</v>
      </c>
    </row>
    <row r="51" spans="1:4" x14ac:dyDescent="0.3">
      <c r="A51" s="2" t="str">
        <f>"1.3.2.00.00- IMOBILIZADO"</f>
        <v>1.3.2.00.00- IMOBILIZADO</v>
      </c>
      <c r="B51" s="9">
        <v>6833325.0999999996</v>
      </c>
      <c r="C51" s="9">
        <v>0</v>
      </c>
      <c r="D51" s="9">
        <v>6833325.0999999996</v>
      </c>
    </row>
    <row r="52" spans="1:4" x14ac:dyDescent="0.3">
      <c r="A52" s="2" t="str">
        <f>"1.3.2.01.01- Maquinas e equipamentos"</f>
        <v>1.3.2.01.01- Maquinas e equipamentos</v>
      </c>
      <c r="B52" s="9">
        <v>243087.09</v>
      </c>
      <c r="C52" s="9">
        <v>0</v>
      </c>
      <c r="D52" s="9">
        <v>243087.09</v>
      </c>
    </row>
    <row r="53" spans="1:4" x14ac:dyDescent="0.3">
      <c r="A53" s="2" t="str">
        <f>"1.3.2.02.01- Ferramentas"</f>
        <v>1.3.2.02.01- Ferramentas</v>
      </c>
      <c r="B53" s="9">
        <v>8159.81</v>
      </c>
      <c r="C53" s="9">
        <v>0</v>
      </c>
      <c r="D53" s="9">
        <v>8159.81</v>
      </c>
    </row>
    <row r="54" spans="1:4" x14ac:dyDescent="0.3">
      <c r="A54" s="2" t="str">
        <f>"1.3.2.03.01- Equipamentos de comunicacao"</f>
        <v>1.3.2.03.01- Equipamentos de comunicacao</v>
      </c>
      <c r="B54" s="9">
        <v>636196.65</v>
      </c>
      <c r="C54" s="9">
        <v>0</v>
      </c>
      <c r="D54" s="9">
        <v>636196.65</v>
      </c>
    </row>
    <row r="55" spans="1:4" x14ac:dyDescent="0.3">
      <c r="A55" s="2" t="str">
        <f>"1.3.2.04.01- Instalacoes"</f>
        <v>1.3.2.04.01- Instalacoes</v>
      </c>
      <c r="B55" s="9">
        <v>89886.56</v>
      </c>
      <c r="C55" s="9">
        <v>0</v>
      </c>
      <c r="D55" s="9">
        <v>89886.56</v>
      </c>
    </row>
    <row r="56" spans="1:4" x14ac:dyDescent="0.3">
      <c r="A56" s="2" t="str">
        <f>"1.3.2.06.01- Moveis e utensilios"</f>
        <v>1.3.2.06.01- Moveis e utensilios</v>
      </c>
      <c r="B56" s="9">
        <v>448610.61</v>
      </c>
      <c r="C56" s="9">
        <v>0</v>
      </c>
      <c r="D56" s="9">
        <v>448610.61</v>
      </c>
    </row>
    <row r="57" spans="1:4" x14ac:dyDescent="0.3">
      <c r="A57" s="2" t="str">
        <f>"1.3.2.08.01- Instalacoes administrativas"</f>
        <v>1.3.2.08.01- Instalacoes administrativas</v>
      </c>
      <c r="B57" s="9">
        <v>98491.4</v>
      </c>
      <c r="C57" s="9">
        <v>0</v>
      </c>
      <c r="D57" s="9">
        <v>98491.4</v>
      </c>
    </row>
    <row r="58" spans="1:4" x14ac:dyDescent="0.3">
      <c r="A58" s="2" t="str">
        <f>"1.3.2.09.01- Aparelhos/equipamentos diversos"</f>
        <v>1.3.2.09.01- Aparelhos/equipamentos diversos</v>
      </c>
      <c r="B58" s="9">
        <v>620810.93000000005</v>
      </c>
      <c r="C58" s="9">
        <v>0</v>
      </c>
      <c r="D58" s="9">
        <v>620810.93000000005</v>
      </c>
    </row>
    <row r="59" spans="1:4" x14ac:dyDescent="0.3">
      <c r="A59" s="2" t="str">
        <f>"1.3.2.10.01- Equip. p/ processamento de dados"</f>
        <v>1.3.2.10.01- Equip. p/ processamento de dados</v>
      </c>
      <c r="B59" s="9">
        <v>1494365.77</v>
      </c>
      <c r="C59" s="9">
        <v>0</v>
      </c>
      <c r="D59" s="9">
        <v>1494365.77</v>
      </c>
    </row>
    <row r="60" spans="1:4" x14ac:dyDescent="0.3">
      <c r="A60" s="2" t="str">
        <f>"1.3.2.12.01- Micros/impressoras e acessorios"</f>
        <v>1.3.2.12.01- Micros/impressoras e acessorios</v>
      </c>
      <c r="B60" s="9">
        <v>1421370.36</v>
      </c>
      <c r="C60" s="9">
        <v>0</v>
      </c>
      <c r="D60" s="9">
        <v>1421370.36</v>
      </c>
    </row>
    <row r="61" spans="1:4" x14ac:dyDescent="0.3">
      <c r="A61" s="2" t="str">
        <f>"1.3.2.13.01- Imobilizacao em imoveis de terceiros"</f>
        <v>1.3.2.13.01- Imobilizacao em imoveis de terceiros</v>
      </c>
      <c r="B61" s="9">
        <v>609961.46</v>
      </c>
      <c r="C61" s="9">
        <v>0</v>
      </c>
      <c r="D61" s="9">
        <v>609961.46</v>
      </c>
    </row>
    <row r="62" spans="1:4" x14ac:dyDescent="0.3">
      <c r="A62" s="2" t="str">
        <f>"1.3.2.14.01- Estacao Diamante"</f>
        <v>1.3.2.14.01- Estacao Diamante</v>
      </c>
      <c r="B62" s="9">
        <v>1162384.46</v>
      </c>
      <c r="C62" s="9">
        <v>0</v>
      </c>
      <c r="D62" s="9">
        <v>1162384.46</v>
      </c>
    </row>
    <row r="63" spans="1:4" x14ac:dyDescent="0.3">
      <c r="A63" s="2" t="str">
        <f>"1.3.3.00.00- INTANGIVEL"</f>
        <v>1.3.3.00.00- INTANGIVEL</v>
      </c>
      <c r="B63" s="9">
        <v>37558</v>
      </c>
      <c r="C63" s="9">
        <v>0</v>
      </c>
      <c r="D63" s="9">
        <v>37558</v>
      </c>
    </row>
    <row r="64" spans="1:4" x14ac:dyDescent="0.3">
      <c r="A64" s="2" t="str">
        <f>"1.3.3.03.00- MARCAS E PATENTES"</f>
        <v>1.3.3.03.00- MARCAS E PATENTES</v>
      </c>
      <c r="B64" s="9">
        <v>808</v>
      </c>
      <c r="C64" s="9">
        <v>0</v>
      </c>
      <c r="D64" s="9">
        <v>808</v>
      </c>
    </row>
    <row r="65" spans="1:4" x14ac:dyDescent="0.3">
      <c r="A65" s="2" t="str">
        <f>"1.3.3.03.01- Marcas e Patentes"</f>
        <v>1.3.3.03.01- Marcas e Patentes</v>
      </c>
      <c r="B65" s="9">
        <v>808</v>
      </c>
      <c r="C65" s="9">
        <v>0</v>
      </c>
      <c r="D65" s="9">
        <v>808</v>
      </c>
    </row>
    <row r="66" spans="1:4" x14ac:dyDescent="0.3">
      <c r="A66" s="2" t="str">
        <f>"1.3.3.04.01- Programas e Sistemas"</f>
        <v>1.3.3.04.01- Programas e Sistemas</v>
      </c>
      <c r="B66" s="9">
        <v>36750</v>
      </c>
      <c r="C66" s="9">
        <v>0</v>
      </c>
      <c r="D66" s="9">
        <v>36750</v>
      </c>
    </row>
    <row r="67" spans="1:4" x14ac:dyDescent="0.3">
      <c r="A67" s="2" t="str">
        <f>"1.3.5.00.00- ( - )DEPRECIACAO E AMORTIZACAO"</f>
        <v>1.3.5.00.00- ( - )DEPRECIACAO E AMORTIZACAO</v>
      </c>
      <c r="B67" s="9">
        <v>-5655308.6900000004</v>
      </c>
      <c r="C67" s="9">
        <v>-25702.25</v>
      </c>
      <c r="D67" s="9">
        <v>-5681010.9400000004</v>
      </c>
    </row>
    <row r="68" spans="1:4" x14ac:dyDescent="0.3">
      <c r="A68" s="2" t="str">
        <f>"1.3.5.01.00- ( - ) DEPRECIACAO E AMORTIZACAO"</f>
        <v>1.3.5.01.00- ( - ) DEPRECIACAO E AMORTIZACAO</v>
      </c>
      <c r="B68" s="9">
        <v>-5655308.6900000004</v>
      </c>
      <c r="C68" s="9">
        <v>-25702.25</v>
      </c>
      <c r="D68" s="9">
        <v>-5681010.9400000004</v>
      </c>
    </row>
    <row r="69" spans="1:4" x14ac:dyDescent="0.3">
      <c r="A69" s="2" t="str">
        <f>"1.3.5.01.01- ( - ) Moveis e Utensilios"</f>
        <v>1.3.5.01.01- ( - ) Moveis e Utensilios</v>
      </c>
      <c r="B69" s="9">
        <v>-426340.15</v>
      </c>
      <c r="C69" s="9">
        <v>-304.42</v>
      </c>
      <c r="D69" s="9">
        <v>-426644.57</v>
      </c>
    </row>
    <row r="70" spans="1:4" x14ac:dyDescent="0.3">
      <c r="A70" s="2" t="str">
        <f>"1.3.5.01.02- ( - ) Aparelhos/Equipamentos Diversos"</f>
        <v>1.3.5.01.02- ( - ) Aparelhos/Equipamentos Diversos</v>
      </c>
      <c r="B70" s="9">
        <v>-563056.30000000005</v>
      </c>
      <c r="C70" s="9">
        <v>-1988.55</v>
      </c>
      <c r="D70" s="9">
        <v>-565044.85</v>
      </c>
    </row>
    <row r="71" spans="1:4" x14ac:dyDescent="0.3">
      <c r="A71" s="2" t="str">
        <f>"1.3.5.01.03- ( - ) Instalacoes Administrativas"</f>
        <v>1.3.5.01.03- ( - ) Instalacoes Administrativas</v>
      </c>
      <c r="B71" s="9">
        <v>-98491.4</v>
      </c>
      <c r="C71" s="9">
        <v>0</v>
      </c>
      <c r="D71" s="9">
        <v>-98491.4</v>
      </c>
    </row>
    <row r="72" spans="1:4" x14ac:dyDescent="0.3">
      <c r="A72" s="2" t="str">
        <f>"1.3.5.01.05- ( - ) Impressoras e Micros"</f>
        <v>1.3.5.01.05- ( - ) Impressoras e Micros</v>
      </c>
      <c r="B72" s="9">
        <v>-2169109.52</v>
      </c>
      <c r="C72" s="9">
        <v>-12687.63</v>
      </c>
      <c r="D72" s="9">
        <v>-2181797.15</v>
      </c>
    </row>
    <row r="73" spans="1:4" x14ac:dyDescent="0.3">
      <c r="A73" s="2" t="str">
        <f>"1.3.5.01.06- ( - ) Maquinas e Equipamentos"</f>
        <v>1.3.5.01.06- ( - ) Maquinas e Equipamentos</v>
      </c>
      <c r="B73" s="9">
        <v>-215483.29</v>
      </c>
      <c r="C73" s="9">
        <v>-510.25</v>
      </c>
      <c r="D73" s="9">
        <v>-215993.54</v>
      </c>
    </row>
    <row r="74" spans="1:4" x14ac:dyDescent="0.3">
      <c r="A74" s="2" t="str">
        <f>"1.3.5.01.07- ( - ) Equipamentos de Comunicacao"</f>
        <v>1.3.5.01.07- ( - ) Equipamentos de Comunicacao</v>
      </c>
      <c r="B74" s="9">
        <v>-504788.39</v>
      </c>
      <c r="C74" s="9">
        <v>-7995.34</v>
      </c>
      <c r="D74" s="9">
        <v>-512783.73</v>
      </c>
    </row>
    <row r="75" spans="1:4" x14ac:dyDescent="0.3">
      <c r="A75" s="2" t="str">
        <f>"1.3.5.01.08- ( - ) Instalacoes Operacionais"</f>
        <v>1.3.5.01.08- ( - ) Instalacoes Operacionais</v>
      </c>
      <c r="B75" s="9">
        <v>-85479.14</v>
      </c>
      <c r="C75" s="9">
        <v>-182.86</v>
      </c>
      <c r="D75" s="9">
        <v>-85662</v>
      </c>
    </row>
    <row r="76" spans="1:4" x14ac:dyDescent="0.3">
      <c r="A76" s="2" t="str">
        <f>"1.3.5.01.09- ( - ) Programas (Softwares)"</f>
        <v>1.3.5.01.09- ( - ) Programas (Softwares)</v>
      </c>
      <c r="B76" s="9">
        <v>-36750</v>
      </c>
      <c r="C76" s="9">
        <v>0</v>
      </c>
      <c r="D76" s="9">
        <v>-36750</v>
      </c>
    </row>
    <row r="77" spans="1:4" x14ac:dyDescent="0.3">
      <c r="A77" s="2" t="str">
        <f>"1.3.5.01.14- ( - ) Ferramentas"</f>
        <v>1.3.5.01.14- ( - ) Ferramentas</v>
      </c>
      <c r="B77" s="9">
        <v>-8159.81</v>
      </c>
      <c r="C77" s="9">
        <v>0</v>
      </c>
      <c r="D77" s="9">
        <v>-8159.81</v>
      </c>
    </row>
    <row r="78" spans="1:4" x14ac:dyDescent="0.3">
      <c r="A78" s="2" t="str">
        <f>"1.3.5.01.15- ( - ) Imobilizacoes em Imov. Terceiros"</f>
        <v>1.3.5.01.15- ( - ) Imobilizacoes em Imov. Terceiros</v>
      </c>
      <c r="B78" s="9">
        <v>-1547650.69</v>
      </c>
      <c r="C78" s="9">
        <v>-2033.2</v>
      </c>
      <c r="D78" s="9">
        <v>-1549683.89</v>
      </c>
    </row>
    <row r="79" spans="1:4" x14ac:dyDescent="0.3">
      <c r="A79" s="2" t="str">
        <f>""</f>
        <v/>
      </c>
      <c r="B79" s="3" t="str">
        <f>""</f>
        <v/>
      </c>
      <c r="C79" s="3" t="str">
        <f>""</f>
        <v/>
      </c>
      <c r="D79" s="3" t="str">
        <f>""</f>
        <v/>
      </c>
    </row>
    <row r="80" spans="1:4" x14ac:dyDescent="0.3">
      <c r="A80" s="2" t="str">
        <f>"PASSIVO"</f>
        <v>PASSIVO</v>
      </c>
      <c r="B80" s="3" t="str">
        <f>""</f>
        <v/>
      </c>
      <c r="C80" s="3" t="str">
        <f>""</f>
        <v/>
      </c>
      <c r="D80" s="3" t="str">
        <f>""</f>
        <v/>
      </c>
    </row>
    <row r="81" spans="1:4" x14ac:dyDescent="0.3">
      <c r="A81" s="2" t="str">
        <f>"2.0.0.00.00- PASSIVO"</f>
        <v>2.0.0.00.00- PASSIVO</v>
      </c>
      <c r="B81" s="9">
        <v>62035476.07</v>
      </c>
      <c r="C81" s="9">
        <v>2566057.33</v>
      </c>
      <c r="D81" s="9">
        <v>64601533.399999999</v>
      </c>
    </row>
    <row r="82" spans="1:4" x14ac:dyDescent="0.3">
      <c r="A82" s="2" t="str">
        <f>"2.1.0.00.00- PASSIVO CIRCULANTE"</f>
        <v>2.1.0.00.00- PASSIVO CIRCULANTE</v>
      </c>
      <c r="B82" s="9">
        <v>35208390.270000003</v>
      </c>
      <c r="C82" s="9">
        <v>4195706.8499999996</v>
      </c>
      <c r="D82" s="9">
        <v>39404097.119999997</v>
      </c>
    </row>
    <row r="83" spans="1:4" x14ac:dyDescent="0.3">
      <c r="A83" s="2" t="str">
        <f>"2.1.1.00.00- OBRIGACOES COM PESSOAL"</f>
        <v>2.1.1.00.00- OBRIGACOES COM PESSOAL</v>
      </c>
      <c r="B83" s="9">
        <v>18799378.780000001</v>
      </c>
      <c r="C83" s="9">
        <v>2403425.7200000002</v>
      </c>
      <c r="D83" s="9">
        <v>21202804.5</v>
      </c>
    </row>
    <row r="84" spans="1:4" x14ac:dyDescent="0.3">
      <c r="A84" s="2" t="str">
        <f>"2.1.1.01.00- SALARIOS A PAGAR"</f>
        <v>2.1.1.01.00- SALARIOS A PAGAR</v>
      </c>
      <c r="B84" s="9">
        <v>18799378.780000001</v>
      </c>
      <c r="C84" s="9">
        <v>2403425.7200000002</v>
      </c>
      <c r="D84" s="9">
        <v>21202804.5</v>
      </c>
    </row>
    <row r="85" spans="1:4" x14ac:dyDescent="0.3">
      <c r="A85" s="2" t="str">
        <f>"2.1.1.01.01- Salarios a Pagar"</f>
        <v>2.1.1.01.01- Salarios a Pagar</v>
      </c>
      <c r="B85" s="9">
        <v>4985217.97</v>
      </c>
      <c r="C85" s="9">
        <v>626342.39</v>
      </c>
      <c r="D85" s="9">
        <v>5611560.3600000003</v>
      </c>
    </row>
    <row r="86" spans="1:4" x14ac:dyDescent="0.3">
      <c r="A86" s="2" t="str">
        <f>"2.1.1.01.02- Provisão 13º Salário"</f>
        <v>2.1.1.01.02- Provisão 13º Salário</v>
      </c>
      <c r="B86" s="9">
        <v>2753234.25</v>
      </c>
      <c r="C86" s="9">
        <v>846545.3</v>
      </c>
      <c r="D86" s="9">
        <v>3599779.55</v>
      </c>
    </row>
    <row r="87" spans="1:4" x14ac:dyDescent="0.3">
      <c r="A87" s="2" t="str">
        <f>"2.1.1.01.03- Ferias a pagar"</f>
        <v>2.1.1.01.03- Ferias a pagar</v>
      </c>
      <c r="B87" s="9">
        <v>134629.09</v>
      </c>
      <c r="C87" s="9">
        <v>-11909.01</v>
      </c>
      <c r="D87" s="9">
        <v>122720.08</v>
      </c>
    </row>
    <row r="88" spans="1:4" x14ac:dyDescent="0.3">
      <c r="A88" s="2" t="str">
        <f>"2.1.1.01.05- Rescisoes a Pagar"</f>
        <v>2.1.1.01.05- Rescisoes a Pagar</v>
      </c>
      <c r="B88" s="9">
        <v>2163.19</v>
      </c>
      <c r="C88" s="9">
        <v>-2163.19</v>
      </c>
      <c r="D88" s="9">
        <v>0</v>
      </c>
    </row>
    <row r="89" spans="1:4" x14ac:dyDescent="0.3">
      <c r="A89" s="2" t="str">
        <f>"2.1.1.01.09- Provisao de Ferias"</f>
        <v>2.1.1.01.09- Provisao de Ferias</v>
      </c>
      <c r="B89" s="9">
        <v>10846663.41</v>
      </c>
      <c r="C89" s="9">
        <v>937002.5</v>
      </c>
      <c r="D89" s="9">
        <v>11783665.91</v>
      </c>
    </row>
    <row r="90" spans="1:4" x14ac:dyDescent="0.3">
      <c r="A90" s="2" t="str">
        <f>"2.1.1.01.12- Pensão Judicial"</f>
        <v>2.1.1.01.12- Pensão Judicial</v>
      </c>
      <c r="B90" s="9">
        <v>77470.87</v>
      </c>
      <c r="C90" s="9">
        <v>7607.73</v>
      </c>
      <c r="D90" s="9">
        <v>85078.6</v>
      </c>
    </row>
    <row r="91" spans="1:4" x14ac:dyDescent="0.3">
      <c r="A91" s="2" t="str">
        <f>"2.1.2.00.00- OBRIGACOES SOCIAIS A CURTO PRAZO"</f>
        <v>2.1.2.00.00- OBRIGACOES SOCIAIS A CURTO PRAZO</v>
      </c>
      <c r="B91" s="9">
        <v>8984327.6199999992</v>
      </c>
      <c r="C91" s="9">
        <v>1017695.39</v>
      </c>
      <c r="D91" s="9">
        <v>10002023.01</v>
      </c>
    </row>
    <row r="92" spans="1:4" x14ac:dyDescent="0.3">
      <c r="A92" s="2" t="str">
        <f>"2.1.2.01.00- OBRIGACOES SOCIAIS A RECOLHER"</f>
        <v>2.1.2.01.00- OBRIGACOES SOCIAIS A RECOLHER</v>
      </c>
      <c r="B92" s="9">
        <v>8984327.6199999992</v>
      </c>
      <c r="C92" s="9">
        <v>1017695.39</v>
      </c>
      <c r="D92" s="9">
        <v>10002023.01</v>
      </c>
    </row>
    <row r="93" spans="1:4" x14ac:dyDescent="0.3">
      <c r="A93" s="2" t="str">
        <f>"2.1.2.01.01- INSS a recolher s/Folha Pagto"</f>
        <v>2.1.2.01.01- INSS a recolher s/Folha Pagto</v>
      </c>
      <c r="B93" s="9">
        <v>3025936.17</v>
      </c>
      <c r="C93" s="9">
        <v>216658.49</v>
      </c>
      <c r="D93" s="9">
        <v>3242594.66</v>
      </c>
    </row>
    <row r="94" spans="1:4" x14ac:dyDescent="0.3">
      <c r="A94" s="2" t="str">
        <f>"2.1.2.01.02- FGTS a recolher s/Folha Pagto"</f>
        <v>2.1.2.01.02- FGTS a recolher s/Folha Pagto</v>
      </c>
      <c r="B94" s="9">
        <v>665747.12</v>
      </c>
      <c r="C94" s="9">
        <v>61359.39</v>
      </c>
      <c r="D94" s="9">
        <v>727106.51</v>
      </c>
    </row>
    <row r="95" spans="1:4" x14ac:dyDescent="0.3">
      <c r="A95" s="2" t="str">
        <f>"2.1.2.01.05- Contribuicao Sindical"</f>
        <v>2.1.2.01.05- Contribuicao Sindical</v>
      </c>
      <c r="B95" s="9">
        <v>8967.98</v>
      </c>
      <c r="C95" s="9">
        <v>707.54</v>
      </c>
      <c r="D95" s="9">
        <v>9675.52</v>
      </c>
    </row>
    <row r="96" spans="1:4" x14ac:dyDescent="0.3">
      <c r="A96" s="2" t="str">
        <f>"2.1.2.01.06- INSS s/Provisao de Ferias"</f>
        <v>2.1.2.01.06- INSS s/Provisao de Ferias</v>
      </c>
      <c r="B96" s="9">
        <v>3150668</v>
      </c>
      <c r="C96" s="9">
        <v>274281.15999999997</v>
      </c>
      <c r="D96" s="9">
        <v>3424949.16</v>
      </c>
    </row>
    <row r="97" spans="1:4" x14ac:dyDescent="0.3">
      <c r="A97" s="2" t="str">
        <f>"2.1.2.01.09- INSS a Recolher s/Autonomos"</f>
        <v>2.1.2.01.09- INSS a Recolher s/Autonomos</v>
      </c>
      <c r="B97" s="9">
        <v>7992.82</v>
      </c>
      <c r="C97" s="9">
        <v>-1308.24</v>
      </c>
      <c r="D97" s="9">
        <v>6684.58</v>
      </c>
    </row>
    <row r="98" spans="1:4" x14ac:dyDescent="0.3">
      <c r="A98" s="2" t="str">
        <f>"2.1.2.01.10- INSS s/Provisao de 13.Salario"</f>
        <v>2.1.2.01.10- INSS s/Provisao de 13.Salario</v>
      </c>
      <c r="B98" s="9">
        <v>805594.72</v>
      </c>
      <c r="C98" s="9">
        <v>248151.31</v>
      </c>
      <c r="D98" s="9">
        <v>1053746.03</v>
      </c>
    </row>
    <row r="99" spans="1:4" x14ac:dyDescent="0.3">
      <c r="A99" s="2" t="str">
        <f>"2.1.2.01.11- FGTS s/Provisao de 13.Salario"</f>
        <v>2.1.2.01.11- FGTS s/Provisao de 13.Salario</v>
      </c>
      <c r="B99" s="9">
        <v>128798.62</v>
      </c>
      <c r="C99" s="9">
        <v>32310.62</v>
      </c>
      <c r="D99" s="9">
        <v>161109.24</v>
      </c>
    </row>
    <row r="100" spans="1:4" x14ac:dyDescent="0.3">
      <c r="A100" s="2" t="str">
        <f>"2.1.2.01.12- FGTS s/Provisao de Ferias"</f>
        <v>2.1.2.01.12- FGTS s/Provisao de Ferias</v>
      </c>
      <c r="B100" s="9">
        <v>861772.37</v>
      </c>
      <c r="C100" s="9">
        <v>74643.5</v>
      </c>
      <c r="D100" s="9">
        <v>936415.87</v>
      </c>
    </row>
    <row r="101" spans="1:4" x14ac:dyDescent="0.3">
      <c r="A101" s="2" t="str">
        <f>"2.1.2.01.15- Crediserv-BH"</f>
        <v>2.1.2.01.15- Crediserv-BH</v>
      </c>
      <c r="B101" s="9">
        <v>25246.14</v>
      </c>
      <c r="C101" s="9">
        <v>-377.98</v>
      </c>
      <c r="D101" s="9">
        <v>24868.16</v>
      </c>
    </row>
    <row r="102" spans="1:4" x14ac:dyDescent="0.3">
      <c r="A102" s="2" t="str">
        <f>"2.1.2.01.16- INSS Fonte a Recolher - PJ"</f>
        <v>2.1.2.01.16- INSS Fonte a Recolher - PJ</v>
      </c>
      <c r="B102" s="9">
        <v>300463.15999999997</v>
      </c>
      <c r="C102" s="9">
        <v>111823.36</v>
      </c>
      <c r="D102" s="9">
        <v>412286.52</v>
      </c>
    </row>
    <row r="103" spans="1:4" x14ac:dyDescent="0.3">
      <c r="A103" s="2" t="str">
        <f>"2.1.2.01.18- INSS Fonte a Recolher - P F"</f>
        <v>2.1.2.01.18- INSS Fonte a Recolher - P F</v>
      </c>
      <c r="B103" s="9">
        <v>3140.52</v>
      </c>
      <c r="C103" s="9">
        <v>-553.76</v>
      </c>
      <c r="D103" s="9">
        <v>2586.7600000000002</v>
      </c>
    </row>
    <row r="104" spans="1:4" x14ac:dyDescent="0.3">
      <c r="A104" s="2" t="str">
        <f>"2.1.3.00.00- OBRIGACOES FISCAIS A CURTO PRAZO"</f>
        <v>2.1.3.00.00- OBRIGACOES FISCAIS A CURTO PRAZO</v>
      </c>
      <c r="B104" s="9">
        <v>2133382.02</v>
      </c>
      <c r="C104" s="9">
        <v>-365738.73</v>
      </c>
      <c r="D104" s="9">
        <v>1767643.29</v>
      </c>
    </row>
    <row r="105" spans="1:4" x14ac:dyDescent="0.3">
      <c r="A105" s="2" t="str">
        <f>"2.1.3.01.00- IMPOSTOS E TAXAS A RECOLHER"</f>
        <v>2.1.3.01.00- IMPOSTOS E TAXAS A RECOLHER</v>
      </c>
      <c r="B105" s="9">
        <v>2133382.02</v>
      </c>
      <c r="C105" s="9">
        <v>-365738.73</v>
      </c>
      <c r="D105" s="9">
        <v>1767643.29</v>
      </c>
    </row>
    <row r="106" spans="1:4" x14ac:dyDescent="0.3">
      <c r="A106" s="2" t="str">
        <f>"2.1.3.01.01- IRRF Fonte Folha Pagto"</f>
        <v>2.1.3.01.01- IRRF Fonte Folha Pagto</v>
      </c>
      <c r="B106" s="9">
        <v>1670874.55</v>
      </c>
      <c r="C106" s="9">
        <v>-470574.92</v>
      </c>
      <c r="D106" s="9">
        <v>1200299.6299999999</v>
      </c>
    </row>
    <row r="107" spans="1:4" x14ac:dyDescent="0.3">
      <c r="A107" s="2" t="str">
        <f>"2.1.3.01.03- IRRF Fonte - Pessoa  Juridica e Física"</f>
        <v>2.1.3.01.03- IRRF Fonte - Pessoa  Juridica e Física</v>
      </c>
      <c r="B107" s="9">
        <v>39172.949999999997</v>
      </c>
      <c r="C107" s="9">
        <v>8510.14</v>
      </c>
      <c r="D107" s="9">
        <v>47683.09</v>
      </c>
    </row>
    <row r="108" spans="1:4" x14ac:dyDescent="0.3">
      <c r="A108" s="2" t="str">
        <f>"2.1.3.01.09- ISS Fonte a Recolher P.Juridica"</f>
        <v>2.1.3.01.09- ISS Fonte a Recolher P.Juridica</v>
      </c>
      <c r="B108" s="9">
        <v>75094.91</v>
      </c>
      <c r="C108" s="9">
        <v>51577.32</v>
      </c>
      <c r="D108" s="9">
        <v>126672.23</v>
      </c>
    </row>
    <row r="109" spans="1:4" x14ac:dyDescent="0.3">
      <c r="A109" s="2" t="str">
        <f>"2.1.3.01.12- CSLL-COFINS-PIS - FONTE"</f>
        <v>2.1.3.01.12- CSLL-COFINS-PIS - FONTE</v>
      </c>
      <c r="B109" s="9">
        <v>348239.61</v>
      </c>
      <c r="C109" s="9">
        <v>44748.73</v>
      </c>
      <c r="D109" s="9">
        <v>392988.34</v>
      </c>
    </row>
    <row r="110" spans="1:4" x14ac:dyDescent="0.3">
      <c r="A110" s="2" t="str">
        <f>"2.1.4.00.00- OUTRAS OBRIGACOES A CURTO PRAZO"</f>
        <v>2.1.4.00.00- OUTRAS OBRIGACOES A CURTO PRAZO</v>
      </c>
      <c r="B110" s="9">
        <v>5291301.8499999996</v>
      </c>
      <c r="C110" s="9">
        <v>1140324.47</v>
      </c>
      <c r="D110" s="9">
        <v>6431626.3200000003</v>
      </c>
    </row>
    <row r="111" spans="1:4" x14ac:dyDescent="0.3">
      <c r="A111" s="2" t="str">
        <f>"2.1.4.01.00- FORNECEDORES"</f>
        <v>2.1.4.01.00- FORNECEDORES</v>
      </c>
      <c r="B111" s="9">
        <v>3910911.35</v>
      </c>
      <c r="C111" s="9">
        <v>1142419.8999999999</v>
      </c>
      <c r="D111" s="9">
        <v>5053331.25</v>
      </c>
    </row>
    <row r="112" spans="1:4" x14ac:dyDescent="0.3">
      <c r="A112" s="2" t="str">
        <f>"2.1.4.01.99- Fornecedores"</f>
        <v>2.1.4.01.99- Fornecedores</v>
      </c>
      <c r="B112" s="9">
        <v>3910911.35</v>
      </c>
      <c r="C112" s="9">
        <v>1142419.8999999999</v>
      </c>
      <c r="D112" s="9">
        <v>5053331.25</v>
      </c>
    </row>
    <row r="113" spans="1:4" x14ac:dyDescent="0.3">
      <c r="A113" s="2" t="str">
        <f>"2.1.4.02.00- CONTAS A PAGAR"</f>
        <v>2.1.4.02.00- CONTAS A PAGAR</v>
      </c>
      <c r="B113" s="9">
        <v>428104.53</v>
      </c>
      <c r="C113" s="9">
        <v>-1163.5899999999999</v>
      </c>
      <c r="D113" s="9">
        <v>426940.94</v>
      </c>
    </row>
    <row r="114" spans="1:4" x14ac:dyDescent="0.3">
      <c r="A114" s="2" t="str">
        <f>"2.1.4.02.01- Emprestimo Consignado - Bradesco"</f>
        <v>2.1.4.02.01- Emprestimo Consignado - Bradesco</v>
      </c>
      <c r="B114" s="9">
        <v>236146.71</v>
      </c>
      <c r="C114" s="9">
        <v>2766.91</v>
      </c>
      <c r="D114" s="9">
        <v>238913.62</v>
      </c>
    </row>
    <row r="115" spans="1:4" x14ac:dyDescent="0.3">
      <c r="A115" s="2" t="str">
        <f>"2.1.4.02.03- Emprestimo Consignado - CEF"</f>
        <v>2.1.4.02.03- Emprestimo Consignado - CEF</v>
      </c>
      <c r="B115" s="9">
        <v>54243.12</v>
      </c>
      <c r="C115" s="9">
        <v>1444.2</v>
      </c>
      <c r="D115" s="9">
        <v>55687.32</v>
      </c>
    </row>
    <row r="116" spans="1:4" x14ac:dyDescent="0.3">
      <c r="A116" s="2" t="str">
        <f>"2.1.4.02.04- Emprestimo Consignado - B.Brasil"</f>
        <v>2.1.4.02.04- Emprestimo Consignado - B.Brasil</v>
      </c>
      <c r="B116" s="9">
        <v>84197.4</v>
      </c>
      <c r="C116" s="9">
        <v>-201.4</v>
      </c>
      <c r="D116" s="9">
        <v>83996</v>
      </c>
    </row>
    <row r="117" spans="1:4" x14ac:dyDescent="0.3">
      <c r="A117" s="2" t="str">
        <f>"2.1.4.02.05- Emprestimo Consignado-Banco Alfa"</f>
        <v>2.1.4.02.05- Emprestimo Consignado-Banco Alfa</v>
      </c>
      <c r="B117" s="9">
        <v>8335.8700000000008</v>
      </c>
      <c r="C117" s="9">
        <v>-250</v>
      </c>
      <c r="D117" s="9">
        <v>8085.87</v>
      </c>
    </row>
    <row r="118" spans="1:4" x14ac:dyDescent="0.3">
      <c r="A118" s="2" t="str">
        <f>"2.1.4.02.07- Emprestimo Consignado - B. Safra"</f>
        <v>2.1.4.02.07- Emprestimo Consignado - B. Safra</v>
      </c>
      <c r="B118" s="9">
        <v>0</v>
      </c>
      <c r="C118" s="9">
        <v>571.11</v>
      </c>
      <c r="D118" s="9">
        <v>571.11</v>
      </c>
    </row>
    <row r="119" spans="1:4" x14ac:dyDescent="0.3">
      <c r="A119" s="2" t="str">
        <f>"2.1.4.02.14- Emprestimo Consignado Trabalhador"</f>
        <v>2.1.4.02.14- Emprestimo Consignado Trabalhador</v>
      </c>
      <c r="B119" s="9">
        <v>0</v>
      </c>
      <c r="C119" s="9">
        <v>448.34</v>
      </c>
      <c r="D119" s="9">
        <v>448.34</v>
      </c>
    </row>
    <row r="120" spans="1:4" x14ac:dyDescent="0.3">
      <c r="A120" s="2" t="str">
        <f>"2.1.4.02.99- Contas a Pagar"</f>
        <v>2.1.4.02.99- Contas a Pagar</v>
      </c>
      <c r="B120" s="9">
        <v>45181.43</v>
      </c>
      <c r="C120" s="9">
        <v>-5942.75</v>
      </c>
      <c r="D120" s="9">
        <v>39238.68</v>
      </c>
    </row>
    <row r="121" spans="1:4" x14ac:dyDescent="0.3">
      <c r="A121" s="2" t="str">
        <f>"2.1.4.04.00- CAUCAO DE TERCEIROS/LEILAO"</f>
        <v>2.1.4.04.00- CAUCAO DE TERCEIROS/LEILAO</v>
      </c>
      <c r="B121" s="9">
        <v>952285.97</v>
      </c>
      <c r="C121" s="9">
        <v>-931.84</v>
      </c>
      <c r="D121" s="9">
        <v>951354.13</v>
      </c>
    </row>
    <row r="122" spans="1:4" x14ac:dyDescent="0.3">
      <c r="A122" s="2" t="str">
        <f>"2.1.4.04.98- Leilões"</f>
        <v>2.1.4.04.98- Leilões</v>
      </c>
      <c r="B122" s="9">
        <v>857604.91</v>
      </c>
      <c r="C122" s="9">
        <v>0</v>
      </c>
      <c r="D122" s="9">
        <v>857604.91</v>
      </c>
    </row>
    <row r="123" spans="1:4" x14ac:dyDescent="0.3">
      <c r="A123" s="2" t="str">
        <f>"2.1.4.04.99- Caucao de Terceiros"</f>
        <v>2.1.4.04.99- Caucao de Terceiros</v>
      </c>
      <c r="B123" s="9">
        <v>94681.06</v>
      </c>
      <c r="C123" s="9">
        <v>-931.84</v>
      </c>
      <c r="D123" s="9">
        <v>93749.22</v>
      </c>
    </row>
    <row r="124" spans="1:4" x14ac:dyDescent="0.3">
      <c r="A124" s="2" t="str">
        <f>"2.2.0.00.00- PASSIVO NAO CIRCULANTE"</f>
        <v>2.2.0.00.00- PASSIVO NAO CIRCULANTE</v>
      </c>
      <c r="B124" s="9">
        <v>160188150.86000001</v>
      </c>
      <c r="C124" s="9">
        <v>0</v>
      </c>
      <c r="D124" s="9">
        <v>160188150.86000001</v>
      </c>
    </row>
    <row r="125" spans="1:4" x14ac:dyDescent="0.3">
      <c r="A125" s="2" t="str">
        <f>"2.2.4.00.00- OUTRAS OBRIGACOES A LONGO PRAZO"</f>
        <v>2.2.4.00.00- OUTRAS OBRIGACOES A LONGO PRAZO</v>
      </c>
      <c r="B125" s="9">
        <v>160188150.86000001</v>
      </c>
      <c r="C125" s="9">
        <v>0</v>
      </c>
      <c r="D125" s="9">
        <v>160188150.86000001</v>
      </c>
    </row>
    <row r="126" spans="1:4" x14ac:dyDescent="0.3">
      <c r="A126" s="2" t="str">
        <f>"2.2.4.01.00- CREDORES DIVERSOS"</f>
        <v>2.2.4.01.00- CREDORES DIVERSOS</v>
      </c>
      <c r="B126" s="9">
        <v>19720501.370000001</v>
      </c>
      <c r="C126" s="9">
        <v>0</v>
      </c>
      <c r="D126" s="9">
        <v>19720501.370000001</v>
      </c>
    </row>
    <row r="127" spans="1:4" x14ac:dyDescent="0.3">
      <c r="A127" s="2" t="str">
        <f>"2.2.4.01.02- Outros Credores Diversos"</f>
        <v>2.2.4.01.02- Outros Credores Diversos</v>
      </c>
      <c r="B127" s="9">
        <v>6484189.6299999999</v>
      </c>
      <c r="C127" s="9">
        <v>0</v>
      </c>
      <c r="D127" s="9">
        <v>6484189.6299999999</v>
      </c>
    </row>
    <row r="128" spans="1:4" x14ac:dyDescent="0.3">
      <c r="A128" s="2" t="str">
        <f>"2.2.4.01.04- Provisão para Contingências Fiscais"</f>
        <v>2.2.4.01.04- Provisão para Contingências Fiscais</v>
      </c>
      <c r="B128" s="9">
        <v>12294456.800000001</v>
      </c>
      <c r="C128" s="9">
        <v>0</v>
      </c>
      <c r="D128" s="9">
        <v>12294456.800000001</v>
      </c>
    </row>
    <row r="129" spans="1:4" x14ac:dyDescent="0.3">
      <c r="A129" s="2" t="str">
        <f>"2.2.4.01.05- INSS Segurados"</f>
        <v>2.2.4.01.05- INSS Segurados</v>
      </c>
      <c r="B129" s="9">
        <v>941854.94</v>
      </c>
      <c r="C129" s="9">
        <v>0</v>
      </c>
      <c r="D129" s="9">
        <v>941854.94</v>
      </c>
    </row>
    <row r="130" spans="1:4" x14ac:dyDescent="0.3">
      <c r="A130" s="2" t="str">
        <f>"2.2.4.04.00- ACOES JUDICIAIS E TRABALHISTAS"</f>
        <v>2.2.4.04.00- ACOES JUDICIAIS E TRABALHISTAS</v>
      </c>
      <c r="B130" s="9">
        <v>140467649.49000001</v>
      </c>
      <c r="C130" s="9">
        <v>0</v>
      </c>
      <c r="D130" s="9">
        <v>140467649.49000001</v>
      </c>
    </row>
    <row r="131" spans="1:4" x14ac:dyDescent="0.3">
      <c r="A131" s="2" t="str">
        <f>"2.2.4.04.01- Acoes judiciais"</f>
        <v>2.2.4.04.01- Acoes judiciais</v>
      </c>
      <c r="B131" s="9">
        <v>59595973.630000003</v>
      </c>
      <c r="C131" s="9">
        <v>0</v>
      </c>
      <c r="D131" s="9">
        <v>59595973.630000003</v>
      </c>
    </row>
    <row r="132" spans="1:4" x14ac:dyDescent="0.3">
      <c r="A132" s="2" t="str">
        <f>"2.2.4.04.02- Acoes trabalhistas"</f>
        <v>2.2.4.04.02- Acoes trabalhistas</v>
      </c>
      <c r="B132" s="9">
        <v>80871675.859999999</v>
      </c>
      <c r="C132" s="9">
        <v>0</v>
      </c>
      <c r="D132" s="9">
        <v>80871675.859999999</v>
      </c>
    </row>
    <row r="133" spans="1:4" x14ac:dyDescent="0.3">
      <c r="A133" s="2" t="str">
        <f>"2.4.0.00.00- PATRIMONIO LIQUIDO"</f>
        <v>2.4.0.00.00- PATRIMONIO LIQUIDO</v>
      </c>
      <c r="B133" s="9">
        <v>-133361065.06</v>
      </c>
      <c r="C133" s="9">
        <v>-1629649.52</v>
      </c>
      <c r="D133" s="9">
        <v>-134990714.58000001</v>
      </c>
    </row>
    <row r="134" spans="1:4" x14ac:dyDescent="0.3">
      <c r="A134" s="2" t="str">
        <f>"2.4.1.00.00- CAPITAL SOCIAL"</f>
        <v>2.4.1.00.00- CAPITAL SOCIAL</v>
      </c>
      <c r="B134" s="9">
        <v>67418193.159999996</v>
      </c>
      <c r="C134" s="9">
        <v>0</v>
      </c>
      <c r="D134" s="9">
        <v>67418193.159999996</v>
      </c>
    </row>
    <row r="135" spans="1:4" x14ac:dyDescent="0.3">
      <c r="A135" s="2" t="str">
        <f>"2.4.1.02.00- CAPITAL REALIZADO"</f>
        <v>2.4.1.02.00- CAPITAL REALIZADO</v>
      </c>
      <c r="B135" s="9">
        <v>67418193.159999996</v>
      </c>
      <c r="C135" s="9">
        <v>0</v>
      </c>
      <c r="D135" s="9">
        <v>67418193.159999996</v>
      </c>
    </row>
    <row r="136" spans="1:4" x14ac:dyDescent="0.3">
      <c r="A136" s="2" t="str">
        <f>"2.4.1.02.01- Capital Subscrito"</f>
        <v>2.4.1.02.01- Capital Subscrito</v>
      </c>
      <c r="B136" s="9">
        <v>75000000</v>
      </c>
      <c r="C136" s="9">
        <v>0</v>
      </c>
      <c r="D136" s="9">
        <v>75000000</v>
      </c>
    </row>
    <row r="137" spans="1:4" x14ac:dyDescent="0.3">
      <c r="A137" s="2" t="str">
        <f>"2.4.1.02.04- Capital a Realizar"</f>
        <v>2.4.1.02.04- Capital a Realizar</v>
      </c>
      <c r="B137" s="9">
        <v>-7581806.8399999999</v>
      </c>
      <c r="C137" s="9">
        <v>0</v>
      </c>
      <c r="D137" s="9">
        <v>-7581806.8399999999</v>
      </c>
    </row>
    <row r="138" spans="1:4" x14ac:dyDescent="0.3">
      <c r="A138" s="2" t="str">
        <f>"2.4.3.00.00- RESULTADOS ACUMULADOS"</f>
        <v>2.4.3.00.00- RESULTADOS ACUMULADOS</v>
      </c>
      <c r="B138" s="9">
        <v>-200779258.22</v>
      </c>
      <c r="C138" s="9">
        <v>-1629649.52</v>
      </c>
      <c r="D138" s="9">
        <v>-202408907.74000001</v>
      </c>
    </row>
    <row r="139" spans="1:4" x14ac:dyDescent="0.3">
      <c r="A139" s="2" t="str">
        <f>"2.4.3.01.00- LUCROS/PREJUIZOS ACUMULADOS"</f>
        <v>2.4.3.01.00- LUCROS/PREJUIZOS ACUMULADOS</v>
      </c>
      <c r="B139" s="9">
        <v>-200779258.22</v>
      </c>
      <c r="C139" s="9">
        <v>-1629649.52</v>
      </c>
      <c r="D139" s="9">
        <v>-202408907.74000001</v>
      </c>
    </row>
    <row r="140" spans="1:4" x14ac:dyDescent="0.3">
      <c r="A140" s="2" t="str">
        <f>"2.4.3.01.01- Resultados de Exerc. Anteriores"</f>
        <v>2.4.3.01.01- Resultados de Exerc. Anteriores</v>
      </c>
      <c r="B140" s="9">
        <v>-198789507.34</v>
      </c>
      <c r="C140" s="9">
        <v>0</v>
      </c>
      <c r="D140" s="9">
        <v>-198789507.34</v>
      </c>
    </row>
    <row r="141" spans="1:4" x14ac:dyDescent="0.3">
      <c r="A141" s="2" t="str">
        <f>"2.4.3.01.02- Resultado deste Exercicio"</f>
        <v>2.4.3.01.02- Resultado deste Exercicio</v>
      </c>
      <c r="B141" s="9">
        <v>-1989750.88</v>
      </c>
      <c r="C141" s="9">
        <v>-1629649.52</v>
      </c>
      <c r="D141" s="9">
        <v>-3619400.4</v>
      </c>
    </row>
    <row r="142" spans="1:4" x14ac:dyDescent="0.3">
      <c r="A142" s="2" t="str">
        <f>""</f>
        <v/>
      </c>
      <c r="B142" s="3" t="str">
        <f>""</f>
        <v/>
      </c>
      <c r="C142" s="3" t="str">
        <f>""</f>
        <v/>
      </c>
      <c r="D142" s="3" t="str">
        <f>""</f>
        <v/>
      </c>
    </row>
    <row r="143" spans="1:4" x14ac:dyDescent="0.3">
      <c r="A143" s="2" t="str">
        <f>"DESPESAS"</f>
        <v>DESPESAS</v>
      </c>
      <c r="B143" s="3" t="str">
        <f>""</f>
        <v/>
      </c>
      <c r="C143" s="3" t="str">
        <f>""</f>
        <v/>
      </c>
      <c r="D143" s="3" t="str">
        <f>""</f>
        <v/>
      </c>
    </row>
    <row r="144" spans="1:4" x14ac:dyDescent="0.3">
      <c r="A144" s="2" t="str">
        <f>"3.0.0.00.00- DESPESAS"</f>
        <v>3.0.0.00.00- DESPESAS</v>
      </c>
      <c r="B144" s="9">
        <v>81487899.909999996</v>
      </c>
      <c r="C144" s="9">
        <v>21795460.890000001</v>
      </c>
      <c r="D144" s="9">
        <v>103283360.8</v>
      </c>
    </row>
    <row r="145" spans="1:4" x14ac:dyDescent="0.3">
      <c r="A145" s="2" t="str">
        <f>"3.1.0.00.00- DESPESAS OPERACIONAIS"</f>
        <v>3.1.0.00.00- DESPESAS OPERACIONAIS</v>
      </c>
      <c r="B145" s="9">
        <v>81487899.909999996</v>
      </c>
      <c r="C145" s="9">
        <v>21795460.890000001</v>
      </c>
      <c r="D145" s="9">
        <v>103283360.8</v>
      </c>
    </row>
    <row r="146" spans="1:4" x14ac:dyDescent="0.3">
      <c r="A146" s="2" t="str">
        <f>"3.1.1.00.00- SALARIOS ADICIONAIS E HONORARIOS"</f>
        <v>3.1.1.00.00- SALARIOS ADICIONAIS E HONORARIOS</v>
      </c>
      <c r="B146" s="9">
        <v>41923971</v>
      </c>
      <c r="C146" s="9">
        <v>11032027.52</v>
      </c>
      <c r="D146" s="9">
        <v>52955998.520000003</v>
      </c>
    </row>
    <row r="147" spans="1:4" x14ac:dyDescent="0.3">
      <c r="A147" s="2" t="str">
        <f>"3.1.1.00.01- Honorarios diretoria"</f>
        <v>3.1.1.00.01- Honorarios diretoria</v>
      </c>
      <c r="B147" s="9">
        <v>287797.15000000002</v>
      </c>
      <c r="C147" s="9">
        <v>80281.399999999994</v>
      </c>
      <c r="D147" s="9">
        <v>368078.55</v>
      </c>
    </row>
    <row r="148" spans="1:4" x14ac:dyDescent="0.3">
      <c r="A148" s="2" t="str">
        <f>"3.1.1.00.02- Honorarios conselho fiscal"</f>
        <v>3.1.1.00.02- Honorarios conselho fiscal</v>
      </c>
      <c r="B148" s="9">
        <v>28605</v>
      </c>
      <c r="C148" s="9">
        <v>7151.25</v>
      </c>
      <c r="D148" s="9">
        <v>35756.25</v>
      </c>
    </row>
    <row r="149" spans="1:4" x14ac:dyDescent="0.3">
      <c r="A149" s="2" t="str">
        <f>"3.1.1.00.03- Honorarios cons. administracao"</f>
        <v>3.1.1.00.03- Honorarios cons. administracao</v>
      </c>
      <c r="B149" s="9">
        <v>107642.66</v>
      </c>
      <c r="C149" s="9">
        <v>24538.6</v>
      </c>
      <c r="D149" s="9">
        <v>132181.26</v>
      </c>
    </row>
    <row r="150" spans="1:4" x14ac:dyDescent="0.3">
      <c r="A150" s="2" t="str">
        <f>"3.1.1.00.04- Salarios e adicionais"</f>
        <v>3.1.1.00.04- Salarios e adicionais</v>
      </c>
      <c r="B150" s="9">
        <v>30893824.879999999</v>
      </c>
      <c r="C150" s="9">
        <v>8240483.7699999996</v>
      </c>
      <c r="D150" s="9">
        <v>39134308.649999999</v>
      </c>
    </row>
    <row r="151" spans="1:4" x14ac:dyDescent="0.3">
      <c r="A151" s="2" t="str">
        <f>"3.1.1.00.05- Ferias e abono pecuniario"</f>
        <v>3.1.1.00.05- Ferias e abono pecuniario</v>
      </c>
      <c r="B151" s="9">
        <v>3763908.42</v>
      </c>
      <c r="C151" s="9">
        <v>1634561.15</v>
      </c>
      <c r="D151" s="9">
        <v>5398469.5700000003</v>
      </c>
    </row>
    <row r="152" spans="1:4" x14ac:dyDescent="0.3">
      <c r="A152" s="2" t="str">
        <f>"3.1.1.00.06- Decimo terceiro salario"</f>
        <v>3.1.1.00.06- Decimo terceiro salario</v>
      </c>
      <c r="B152" s="9">
        <v>2772181.22</v>
      </c>
      <c r="C152" s="9">
        <v>852554.72</v>
      </c>
      <c r="D152" s="9">
        <v>3624735.94</v>
      </c>
    </row>
    <row r="153" spans="1:4" x14ac:dyDescent="0.3">
      <c r="A153" s="2" t="str">
        <f>"3.1.1.00.07- Indenizacoes trabalhistas"</f>
        <v>3.1.1.00.07- Indenizacoes trabalhistas</v>
      </c>
      <c r="B153" s="9">
        <v>3969649.62</v>
      </c>
      <c r="C153" s="9">
        <v>164875.29999999999</v>
      </c>
      <c r="D153" s="9">
        <v>4134524.92</v>
      </c>
    </row>
    <row r="154" spans="1:4" x14ac:dyDescent="0.3">
      <c r="A154" s="2" t="str">
        <f>"3.1.1.00.08- Bolsas de estagiario"</f>
        <v>3.1.1.00.08- Bolsas de estagiario</v>
      </c>
      <c r="B154" s="9">
        <v>100362.05</v>
      </c>
      <c r="C154" s="9">
        <v>27581.33</v>
      </c>
      <c r="D154" s="9">
        <v>127943.38</v>
      </c>
    </row>
    <row r="155" spans="1:4" x14ac:dyDescent="0.3">
      <c r="A155" s="2" t="str">
        <f>"3.1.2.01.00- ENCARGOS SOCIAIS"</f>
        <v>3.1.2.01.00- ENCARGOS SOCIAIS</v>
      </c>
      <c r="B155" s="9">
        <v>13793544.73</v>
      </c>
      <c r="C155" s="9">
        <v>3925211.87</v>
      </c>
      <c r="D155" s="9">
        <v>17718756.600000001</v>
      </c>
    </row>
    <row r="156" spans="1:4" x14ac:dyDescent="0.3">
      <c r="A156" s="2" t="str">
        <f>"3.1.2.01.01- INSS"</f>
        <v>3.1.2.01.01- INSS</v>
      </c>
      <c r="B156" s="9">
        <v>10784193.529999999</v>
      </c>
      <c r="C156" s="9">
        <v>3091151.24</v>
      </c>
      <c r="D156" s="9">
        <v>13875344.77</v>
      </c>
    </row>
    <row r="157" spans="1:4" x14ac:dyDescent="0.3">
      <c r="A157" s="2" t="str">
        <f>"3.1.2.01.02- FGTS"</f>
        <v>3.1.2.01.02- FGTS</v>
      </c>
      <c r="B157" s="9">
        <v>3009351.2</v>
      </c>
      <c r="C157" s="9">
        <v>834060.63</v>
      </c>
      <c r="D157" s="9">
        <v>3843411.83</v>
      </c>
    </row>
    <row r="158" spans="1:4" x14ac:dyDescent="0.3">
      <c r="A158" s="2" t="str">
        <f>"3.1.2.02.00- OUTRAS DESPESAS COM PESSOAL"</f>
        <v>3.1.2.02.00- OUTRAS DESPESAS COM PESSOAL</v>
      </c>
      <c r="B158" s="9">
        <v>6631022.0199999996</v>
      </c>
      <c r="C158" s="9">
        <v>1636225.22</v>
      </c>
      <c r="D158" s="9">
        <v>8267247.2400000002</v>
      </c>
    </row>
    <row r="159" spans="1:4" x14ac:dyDescent="0.3">
      <c r="A159" s="2" t="str">
        <f>"3.1.2.02.01- Seguros de Vida"</f>
        <v>3.1.2.02.01- Seguros de Vida</v>
      </c>
      <c r="B159" s="9">
        <v>32265.279999999999</v>
      </c>
      <c r="C159" s="9">
        <v>8042.3</v>
      </c>
      <c r="D159" s="9">
        <v>40307.58</v>
      </c>
    </row>
    <row r="160" spans="1:4" x14ac:dyDescent="0.3">
      <c r="A160" s="2" t="str">
        <f>"3.1.2.02.02- Ass. Medica Odontologica"</f>
        <v>3.1.2.02.02- Ass. Medica Odontologica</v>
      </c>
      <c r="B160" s="9">
        <v>2782470.12</v>
      </c>
      <c r="C160" s="9">
        <v>667332.46</v>
      </c>
      <c r="D160" s="9">
        <v>3449802.58</v>
      </c>
    </row>
    <row r="161" spans="1:4" x14ac:dyDescent="0.3">
      <c r="A161" s="2" t="str">
        <f>"3.1.2.02.03- Vale Transporte"</f>
        <v>3.1.2.02.03- Vale Transporte</v>
      </c>
      <c r="B161" s="9">
        <v>203134.02</v>
      </c>
      <c r="C161" s="9">
        <v>56369.32</v>
      </c>
      <c r="D161" s="9">
        <v>259503.34</v>
      </c>
    </row>
    <row r="162" spans="1:4" x14ac:dyDescent="0.3">
      <c r="A162" s="2" t="str">
        <f>"3.1.2.02.04- Vale Refeicao/Alimentacao"</f>
        <v>3.1.2.02.04- Vale Refeicao/Alimentacao</v>
      </c>
      <c r="B162" s="9">
        <v>3525428.15</v>
      </c>
      <c r="C162" s="9">
        <v>887216</v>
      </c>
      <c r="D162" s="9">
        <v>4412644.1500000004</v>
      </c>
    </row>
    <row r="163" spans="1:4" x14ac:dyDescent="0.3">
      <c r="A163" s="2" t="str">
        <f>"3.1.2.02.05- Compl. Auxilio Doenca"</f>
        <v>3.1.2.02.05- Compl. Auxilio Doenca</v>
      </c>
      <c r="B163" s="9">
        <v>11954.02</v>
      </c>
      <c r="C163" s="9">
        <v>1371.68</v>
      </c>
      <c r="D163" s="9">
        <v>13325.7</v>
      </c>
    </row>
    <row r="164" spans="1:4" x14ac:dyDescent="0.3">
      <c r="A164" s="2" t="str">
        <f>"3.1.2.02.06- Cursos e Treinamentos"</f>
        <v>3.1.2.02.06- Cursos e Treinamentos</v>
      </c>
      <c r="B164" s="9">
        <v>10762.53</v>
      </c>
      <c r="C164" s="9">
        <v>0</v>
      </c>
      <c r="D164" s="9">
        <v>10762.53</v>
      </c>
    </row>
    <row r="165" spans="1:4" x14ac:dyDescent="0.3">
      <c r="A165" s="2" t="str">
        <f>"3.1.2.02.07- Auxilio Creche"</f>
        <v>3.1.2.02.07- Auxilio Creche</v>
      </c>
      <c r="B165" s="9">
        <v>65007.9</v>
      </c>
      <c r="C165" s="9">
        <v>15893.46</v>
      </c>
      <c r="D165" s="9">
        <v>80901.36</v>
      </c>
    </row>
    <row r="166" spans="1:4" x14ac:dyDescent="0.3">
      <c r="A166" s="2" t="str">
        <f>"3.1.3.00.00- MATERIAIS"</f>
        <v>3.1.3.00.00- MATERIAIS</v>
      </c>
      <c r="B166" s="9">
        <v>161039.85</v>
      </c>
      <c r="C166" s="9">
        <v>23830.880000000001</v>
      </c>
      <c r="D166" s="9">
        <v>184870.73</v>
      </c>
    </row>
    <row r="167" spans="1:4" x14ac:dyDescent="0.3">
      <c r="A167" s="2" t="str">
        <f>"3.1.3.00.01- Bens de natureza permanente"</f>
        <v>3.1.3.00.01- Bens de natureza permanente</v>
      </c>
      <c r="B167" s="9">
        <v>7653.6</v>
      </c>
      <c r="C167" s="9">
        <v>0</v>
      </c>
      <c r="D167" s="9">
        <v>7653.6</v>
      </c>
    </row>
    <row r="168" spans="1:4" x14ac:dyDescent="0.3">
      <c r="A168" s="2" t="str">
        <f>"3.1.3.00.08- Material seguranca e uniformes"</f>
        <v>3.1.3.00.08- Material seguranca e uniformes</v>
      </c>
      <c r="B168" s="9">
        <v>830.04</v>
      </c>
      <c r="C168" s="9">
        <v>0</v>
      </c>
      <c r="D168" s="9">
        <v>830.04</v>
      </c>
    </row>
    <row r="169" spans="1:4" x14ac:dyDescent="0.3">
      <c r="A169" s="2" t="str">
        <f>"3.1.3.00.09- Material limp/conserv/copa/cozin"</f>
        <v>3.1.3.00.09- Material limp/conserv/copa/cozin</v>
      </c>
      <c r="B169" s="9">
        <v>60089.79</v>
      </c>
      <c r="C169" s="9">
        <v>8446.26</v>
      </c>
      <c r="D169" s="9">
        <v>68536.05</v>
      </c>
    </row>
    <row r="170" spans="1:4" x14ac:dyDescent="0.3">
      <c r="A170" s="2" t="str">
        <f>"3.1.3.00.10- Impressos e material de escritorio"</f>
        <v>3.1.3.00.10- Impressos e material de escritorio</v>
      </c>
      <c r="B170" s="9">
        <v>20187.12</v>
      </c>
      <c r="C170" s="9">
        <v>5180.51</v>
      </c>
      <c r="D170" s="9">
        <v>25367.63</v>
      </c>
    </row>
    <row r="171" spans="1:4" x14ac:dyDescent="0.3">
      <c r="A171" s="2" t="str">
        <f>"3.1.3.00.11- Materiais manut. inst. prediais"</f>
        <v>3.1.3.00.11- Materiais manut. inst. prediais</v>
      </c>
      <c r="B171" s="9">
        <v>62856.480000000003</v>
      </c>
      <c r="C171" s="9">
        <v>6346.77</v>
      </c>
      <c r="D171" s="9">
        <v>69203.25</v>
      </c>
    </row>
    <row r="172" spans="1:4" x14ac:dyDescent="0.3">
      <c r="A172" s="2" t="str">
        <f>"3.1.3.00.15- Materiais e supriment informatic"</f>
        <v>3.1.3.00.15- Materiais e supriment informatic</v>
      </c>
      <c r="B172" s="9">
        <v>1663.93</v>
      </c>
      <c r="C172" s="9">
        <v>3857.34</v>
      </c>
      <c r="D172" s="9">
        <v>5521.27</v>
      </c>
    </row>
    <row r="173" spans="1:4" x14ac:dyDescent="0.3">
      <c r="A173" s="2" t="str">
        <f>"3.1.3.00.99- Outros materiais"</f>
        <v>3.1.3.00.99- Outros materiais</v>
      </c>
      <c r="B173" s="9">
        <v>7758.89</v>
      </c>
      <c r="C173" s="9">
        <v>0</v>
      </c>
      <c r="D173" s="9">
        <v>7758.89</v>
      </c>
    </row>
    <row r="174" spans="1:4" x14ac:dyDescent="0.3">
      <c r="A174" s="2" t="str">
        <f>"3.1.4.00.00- SERVICOS PRESTADOS POR TERCEIROS"</f>
        <v>3.1.4.00.00- SERVICOS PRESTADOS POR TERCEIROS</v>
      </c>
      <c r="B174" s="9">
        <v>15514036.880000001</v>
      </c>
      <c r="C174" s="9">
        <v>4114542.46</v>
      </c>
      <c r="D174" s="9">
        <v>19628579.34</v>
      </c>
    </row>
    <row r="175" spans="1:4" x14ac:dyDescent="0.3">
      <c r="A175" s="2" t="str">
        <f>"3.1.4.00.01- Consultoria"</f>
        <v>3.1.4.00.01- Consultoria</v>
      </c>
      <c r="B175" s="9">
        <v>27013.58</v>
      </c>
      <c r="C175" s="9">
        <v>455.73</v>
      </c>
      <c r="D175" s="9">
        <v>27469.31</v>
      </c>
    </row>
    <row r="176" spans="1:4" x14ac:dyDescent="0.3">
      <c r="A176" s="2" t="str">
        <f>"3.1.4.00.02- Locacao de veiculos"</f>
        <v>3.1.4.00.02- Locacao de veiculos</v>
      </c>
      <c r="B176" s="9">
        <v>25731.360000000001</v>
      </c>
      <c r="C176" s="9">
        <v>6432.84</v>
      </c>
      <c r="D176" s="9">
        <v>32164.2</v>
      </c>
    </row>
    <row r="177" spans="1:4" x14ac:dyDescent="0.3">
      <c r="A177" s="2" t="str">
        <f>"3.1.4.00.03- Locacao de equipamentos"</f>
        <v>3.1.4.00.03- Locacao de equipamentos</v>
      </c>
      <c r="B177" s="9">
        <v>14340.31</v>
      </c>
      <c r="C177" s="9">
        <v>4585.3100000000004</v>
      </c>
      <c r="D177" s="9">
        <v>18925.62</v>
      </c>
    </row>
    <row r="178" spans="1:4" x14ac:dyDescent="0.3">
      <c r="A178" s="2" t="str">
        <f>"3.1.4.00.10- Mao de obra contratada"</f>
        <v>3.1.4.00.10- Mao de obra contratada</v>
      </c>
      <c r="B178" s="9">
        <v>9938434.0800000001</v>
      </c>
      <c r="C178" s="9">
        <v>2709130.51</v>
      </c>
      <c r="D178" s="9">
        <v>12647564.59</v>
      </c>
    </row>
    <row r="179" spans="1:4" x14ac:dyDescent="0.3">
      <c r="A179" s="2" t="str">
        <f>"3.1.4.00.13- Publicidade e divulgacao"</f>
        <v>3.1.4.00.13- Publicidade e divulgacao</v>
      </c>
      <c r="B179" s="9">
        <v>19192.400000000001</v>
      </c>
      <c r="C179" s="9">
        <v>396.96</v>
      </c>
      <c r="D179" s="9">
        <v>19589.36</v>
      </c>
    </row>
    <row r="180" spans="1:4" x14ac:dyDescent="0.3">
      <c r="A180" s="2" t="str">
        <f>"3.1.4.00.14- Informatica-serv. e/ou locacao"</f>
        <v>3.1.4.00.14- Informatica-serv. e/ou locacao</v>
      </c>
      <c r="B180" s="9">
        <v>921417.71</v>
      </c>
      <c r="C180" s="9">
        <v>335996.2</v>
      </c>
      <c r="D180" s="9">
        <v>1257413.9099999999</v>
      </c>
    </row>
    <row r="181" spans="1:4" x14ac:dyDescent="0.3">
      <c r="A181" s="2" t="str">
        <f>"3.1.4.00.15- Outros serv. prestados - PF"</f>
        <v>3.1.4.00.15- Outros serv. prestados - PF</v>
      </c>
      <c r="B181" s="9">
        <v>127738.13</v>
      </c>
      <c r="C181" s="9">
        <v>33422.67</v>
      </c>
      <c r="D181" s="9">
        <v>161160.79999999999</v>
      </c>
    </row>
    <row r="182" spans="1:4" x14ac:dyDescent="0.3">
      <c r="A182" s="2" t="str">
        <f>"3.1.4.00.16- Outros serv. Prestados - PJ"</f>
        <v>3.1.4.00.16- Outros serv. Prestados - PJ</v>
      </c>
      <c r="B182" s="9">
        <v>843443.77</v>
      </c>
      <c r="C182" s="9">
        <v>83614.78</v>
      </c>
      <c r="D182" s="9">
        <v>927058.55</v>
      </c>
    </row>
    <row r="183" spans="1:4" x14ac:dyDescent="0.3">
      <c r="A183" s="2" t="str">
        <f>"3.1.4.00.17- Servicos postais"</f>
        <v>3.1.4.00.17- Servicos postais</v>
      </c>
      <c r="B183" s="9">
        <v>21500.44</v>
      </c>
      <c r="C183" s="9">
        <v>5954.93</v>
      </c>
      <c r="D183" s="9">
        <v>27455.37</v>
      </c>
    </row>
    <row r="184" spans="1:4" x14ac:dyDescent="0.3">
      <c r="A184" s="2" t="str">
        <f>"3.1.4.00.19- Manut. imoveis/instal/equip.oper"</f>
        <v>3.1.4.00.19- Manut. imoveis/instal/equip.oper</v>
      </c>
      <c r="B184" s="9">
        <v>49040.82</v>
      </c>
      <c r="C184" s="9">
        <v>0</v>
      </c>
      <c r="D184" s="9">
        <v>49040.82</v>
      </c>
    </row>
    <row r="185" spans="1:4" x14ac:dyDescent="0.3">
      <c r="A185" s="2" t="str">
        <f>"3.1.4.00.26- Serv.limp.conserv."</f>
        <v>3.1.4.00.26- Serv.limp.conserv.</v>
      </c>
      <c r="B185" s="9">
        <v>3527675.5</v>
      </c>
      <c r="C185" s="9">
        <v>1011950.81</v>
      </c>
      <c r="D185" s="9">
        <v>4539626.3099999996</v>
      </c>
    </row>
    <row r="186" spans="1:4" x14ac:dyDescent="0.3">
      <c r="A186" s="2" t="str">
        <f>"3.1.4.00.32- Vale transporte"</f>
        <v>3.1.4.00.32- Vale transporte</v>
      </c>
      <c r="B186" s="9">
        <v>10974.69</v>
      </c>
      <c r="C186" s="9">
        <v>22009.919999999998</v>
      </c>
      <c r="D186" s="9">
        <v>32984.61</v>
      </c>
    </row>
    <row r="187" spans="1:4" x14ac:dyDescent="0.3">
      <c r="A187" s="2" t="str">
        <f>"3.1.4.00.33- Vale Ref./Al.terceir."</f>
        <v>3.1.4.00.33- Vale Ref./Al.terceir.</v>
      </c>
      <c r="B187" s="9">
        <v>104736.56</v>
      </c>
      <c r="C187" s="9">
        <v>0</v>
      </c>
      <c r="D187" s="9">
        <v>104736.56</v>
      </c>
    </row>
    <row r="188" spans="1:4" x14ac:dyDescent="0.3">
      <c r="A188" s="2" t="str">
        <f>"3.1.4.00.34- Comissao s/venda rotativo"</f>
        <v>3.1.4.00.34- Comissao s/venda rotativo</v>
      </c>
      <c r="B188" s="9">
        <v>5707.84</v>
      </c>
      <c r="C188" s="9">
        <v>0</v>
      </c>
      <c r="D188" s="9">
        <v>5707.84</v>
      </c>
    </row>
    <row r="189" spans="1:4" x14ac:dyDescent="0.3">
      <c r="A189" s="2" t="str">
        <f>"3.1.4.00.36- (-) Desconto ISSQN conf Lei 9145 serv. P"</f>
        <v>3.1.4.00.36- (-) Desconto ISSQN conf Lei 9145 serv. P</v>
      </c>
      <c r="B189" s="9">
        <v>-617810.34</v>
      </c>
      <c r="C189" s="9">
        <v>-99408.2</v>
      </c>
      <c r="D189" s="9">
        <v>-717218.54</v>
      </c>
    </row>
    <row r="190" spans="1:4" x14ac:dyDescent="0.3">
      <c r="A190" s="2" t="str">
        <f>"3.1.4.00.39- Convênio Guarda Municipal"</f>
        <v>3.1.4.00.39- Convênio Guarda Municipal</v>
      </c>
      <c r="B190" s="9">
        <v>494900.03</v>
      </c>
      <c r="C190" s="9">
        <v>0</v>
      </c>
      <c r="D190" s="9">
        <v>494900.03</v>
      </c>
    </row>
    <row r="191" spans="1:4" x14ac:dyDescent="0.3">
      <c r="A191" s="2" t="str">
        <f>"3.1.5.00.00- TARIFAS PUBLICAS"</f>
        <v>3.1.5.00.00- TARIFAS PUBLICAS</v>
      </c>
      <c r="B191" s="9">
        <v>415835.76</v>
      </c>
      <c r="C191" s="9">
        <v>302071.09000000003</v>
      </c>
      <c r="D191" s="9">
        <v>717906.85</v>
      </c>
    </row>
    <row r="192" spans="1:4" x14ac:dyDescent="0.3">
      <c r="A192" s="2" t="str">
        <f>"3.1.5.00.02- Energia eletrica"</f>
        <v>3.1.5.00.02- Energia eletrica</v>
      </c>
      <c r="B192" s="9">
        <v>77085.350000000006</v>
      </c>
      <c r="C192" s="9">
        <v>0</v>
      </c>
      <c r="D192" s="9">
        <v>77085.350000000006</v>
      </c>
    </row>
    <row r="193" spans="1:4" x14ac:dyDescent="0.3">
      <c r="A193" s="2" t="str">
        <f>"3.1.5.00.03- Telefone"</f>
        <v>3.1.5.00.03- Telefone</v>
      </c>
      <c r="B193" s="9">
        <v>144047.96</v>
      </c>
      <c r="C193" s="9">
        <v>68132.05</v>
      </c>
      <c r="D193" s="9">
        <v>212180.01</v>
      </c>
    </row>
    <row r="194" spans="1:4" x14ac:dyDescent="0.3">
      <c r="A194" s="2" t="str">
        <f>"3.1.5.00.04- Copasa/FMS"</f>
        <v>3.1.5.00.04- Copasa/FMS</v>
      </c>
      <c r="B194" s="9">
        <v>194702.45</v>
      </c>
      <c r="C194" s="9">
        <v>233939.04</v>
      </c>
      <c r="D194" s="9">
        <v>428641.49</v>
      </c>
    </row>
    <row r="195" spans="1:4" x14ac:dyDescent="0.3">
      <c r="A195" s="2" t="str">
        <f>"3.1.6.00.00- DESPESAS TRIBUTARIAS"</f>
        <v>3.1.6.00.00- DESPESAS TRIBUTARIAS</v>
      </c>
      <c r="B195" s="9">
        <v>1355043.21</v>
      </c>
      <c r="C195" s="9">
        <v>330990</v>
      </c>
      <c r="D195" s="9">
        <v>1686033.21</v>
      </c>
    </row>
    <row r="196" spans="1:4" x14ac:dyDescent="0.3">
      <c r="A196" s="2" t="str">
        <f>"3.1.6.00.01- Taxas legais"</f>
        <v>3.1.6.00.01- Taxas legais</v>
      </c>
      <c r="B196" s="9">
        <v>1863.52</v>
      </c>
      <c r="C196" s="9">
        <v>25854.44</v>
      </c>
      <c r="D196" s="9">
        <v>27717.96</v>
      </c>
    </row>
    <row r="197" spans="1:4" x14ac:dyDescent="0.3">
      <c r="A197" s="2" t="str">
        <f>"3.1.6.00.02- Imposto de renda"</f>
        <v>3.1.6.00.02- Imposto de renda</v>
      </c>
      <c r="B197" s="9">
        <v>147054.62</v>
      </c>
      <c r="C197" s="9">
        <v>0</v>
      </c>
      <c r="D197" s="9">
        <v>147054.62</v>
      </c>
    </row>
    <row r="198" spans="1:4" x14ac:dyDescent="0.3">
      <c r="A198" s="2" t="str">
        <f>"3.1.6.00.03- IOF"</f>
        <v>3.1.6.00.03- IOF</v>
      </c>
      <c r="B198" s="9">
        <v>13184.25</v>
      </c>
      <c r="C198" s="9">
        <v>4359.8599999999997</v>
      </c>
      <c r="D198" s="9">
        <v>17544.11</v>
      </c>
    </row>
    <row r="199" spans="1:4" x14ac:dyDescent="0.3">
      <c r="A199" s="2" t="str">
        <f>"3.1.6.00.05- Contrib. Social s/lucro liquido"</f>
        <v>3.1.6.00.05- Contrib. Social s/lucro liquido</v>
      </c>
      <c r="B199" s="9">
        <v>61579.66</v>
      </c>
      <c r="C199" s="9">
        <v>0</v>
      </c>
      <c r="D199" s="9">
        <v>61579.66</v>
      </c>
    </row>
    <row r="200" spans="1:4" x14ac:dyDescent="0.3">
      <c r="A200" s="2" t="str">
        <f>"3.1.6.00.06- PIS"</f>
        <v>3.1.6.00.06- PIS</v>
      </c>
      <c r="B200" s="9">
        <v>191414.18</v>
      </c>
      <c r="C200" s="9">
        <v>50457.27</v>
      </c>
      <c r="D200" s="9">
        <v>241871.45</v>
      </c>
    </row>
    <row r="201" spans="1:4" x14ac:dyDescent="0.3">
      <c r="A201" s="2" t="str">
        <f>"3.1.6.00.07- COFINS"</f>
        <v>3.1.6.00.07- COFINS</v>
      </c>
      <c r="B201" s="9">
        <v>881665.33</v>
      </c>
      <c r="C201" s="9">
        <v>232409.25</v>
      </c>
      <c r="D201" s="9">
        <v>1114074.58</v>
      </c>
    </row>
    <row r="202" spans="1:4" x14ac:dyDescent="0.3">
      <c r="A202" s="2" t="str">
        <f>"3.1.6.00.08- Multas indedutiveis"</f>
        <v>3.1.6.00.08- Multas indedutiveis</v>
      </c>
      <c r="B202" s="9">
        <v>0</v>
      </c>
      <c r="C202" s="9">
        <v>12.81</v>
      </c>
      <c r="D202" s="9">
        <v>12.81</v>
      </c>
    </row>
    <row r="203" spans="1:4" x14ac:dyDescent="0.3">
      <c r="A203" s="2" t="str">
        <f>"3.1.6.00.14- Contrib.entid.classe"</f>
        <v>3.1.6.00.14- Contrib.entid.classe</v>
      </c>
      <c r="B203" s="9">
        <v>4981.72</v>
      </c>
      <c r="C203" s="9">
        <v>374.5</v>
      </c>
      <c r="D203" s="9">
        <v>5356.22</v>
      </c>
    </row>
    <row r="204" spans="1:4" x14ac:dyDescent="0.3">
      <c r="A204" s="2" t="str">
        <f>"3.1.6.00.15- INSS Serv.terceiros"</f>
        <v>3.1.6.00.15- INSS Serv.terceiros</v>
      </c>
      <c r="B204" s="9">
        <v>25516.17</v>
      </c>
      <c r="C204" s="9">
        <v>6684.58</v>
      </c>
      <c r="D204" s="9">
        <v>32200.75</v>
      </c>
    </row>
    <row r="205" spans="1:4" x14ac:dyDescent="0.3">
      <c r="A205" s="2" t="str">
        <f>"3.1.6.00.17- PIS s/ receitas financeiras"</f>
        <v>3.1.6.00.17- PIS s/ receitas financeiras</v>
      </c>
      <c r="B205" s="9">
        <v>3883.75</v>
      </c>
      <c r="C205" s="9">
        <v>1514.89</v>
      </c>
      <c r="D205" s="9">
        <v>5398.64</v>
      </c>
    </row>
    <row r="206" spans="1:4" x14ac:dyDescent="0.3">
      <c r="A206" s="2" t="str">
        <f>"3.1.6.00.18- Cofins s/ receitas financeiras"</f>
        <v>3.1.6.00.18- Cofins s/ receitas financeiras</v>
      </c>
      <c r="B206" s="9">
        <v>23900.01</v>
      </c>
      <c r="C206" s="9">
        <v>9322.4</v>
      </c>
      <c r="D206" s="9">
        <v>33222.410000000003</v>
      </c>
    </row>
    <row r="207" spans="1:4" x14ac:dyDescent="0.3">
      <c r="A207" s="2" t="str">
        <f>"3.1.7.00.00- DESPESAS FINANCEIRAS"</f>
        <v>3.1.7.00.00- DESPESAS FINANCEIRAS</v>
      </c>
      <c r="B207" s="9">
        <v>487.96</v>
      </c>
      <c r="C207" s="9">
        <v>95.62</v>
      </c>
      <c r="D207" s="9">
        <v>583.58000000000004</v>
      </c>
    </row>
    <row r="208" spans="1:4" x14ac:dyDescent="0.3">
      <c r="A208" s="2" t="str">
        <f>"3.1.7.01.02- Despesas bancarias"</f>
        <v>3.1.7.01.02- Despesas bancarias</v>
      </c>
      <c r="B208" s="9">
        <v>487.96</v>
      </c>
      <c r="C208" s="9">
        <v>95.62</v>
      </c>
      <c r="D208" s="9">
        <v>583.58000000000004</v>
      </c>
    </row>
    <row r="209" spans="1:4" x14ac:dyDescent="0.3">
      <c r="A209" s="2" t="str">
        <f>"3.1.8.00.00- OUTRAS DESPESAS"</f>
        <v>3.1.8.00.00- OUTRAS DESPESAS</v>
      </c>
      <c r="B209" s="9">
        <v>1692918.5</v>
      </c>
      <c r="C209" s="9">
        <v>430466.23</v>
      </c>
      <c r="D209" s="9">
        <v>2123384.73</v>
      </c>
    </row>
    <row r="210" spans="1:4" x14ac:dyDescent="0.3">
      <c r="A210" s="2" t="str">
        <f>"3.1.8.00.01- Despesas de viagem"</f>
        <v>3.1.8.00.01- Despesas de viagem</v>
      </c>
      <c r="B210" s="9">
        <v>1005</v>
      </c>
      <c r="C210" s="9">
        <v>2589.41</v>
      </c>
      <c r="D210" s="9">
        <v>3594.41</v>
      </c>
    </row>
    <row r="211" spans="1:4" x14ac:dyDescent="0.3">
      <c r="A211" s="2" t="str">
        <f>"3.1.8.00.03- Livros, jornais e revistas"</f>
        <v>3.1.8.00.03- Livros, jornais e revistas</v>
      </c>
      <c r="B211" s="9">
        <v>26952.75</v>
      </c>
      <c r="C211" s="9">
        <v>0</v>
      </c>
      <c r="D211" s="9">
        <v>26952.75</v>
      </c>
    </row>
    <row r="212" spans="1:4" x14ac:dyDescent="0.3">
      <c r="A212" s="2" t="str">
        <f>"3.1.8.00.05- Depreciacao/amort"</f>
        <v>3.1.8.00.05- Depreciacao/amort</v>
      </c>
      <c r="B212" s="9">
        <v>104568.69</v>
      </c>
      <c r="C212" s="9">
        <v>25702.25</v>
      </c>
      <c r="D212" s="9">
        <v>130270.94</v>
      </c>
    </row>
    <row r="213" spans="1:4" x14ac:dyDescent="0.3">
      <c r="A213" s="2" t="str">
        <f>"3.1.8.00.06- Seguros bens moveis e imoveis"</f>
        <v>3.1.8.00.06- Seguros bens moveis e imoveis</v>
      </c>
      <c r="B213" s="9">
        <v>8564.31</v>
      </c>
      <c r="C213" s="9">
        <v>2311.92</v>
      </c>
      <c r="D213" s="9">
        <v>10876.23</v>
      </c>
    </row>
    <row r="214" spans="1:4" x14ac:dyDescent="0.3">
      <c r="A214" s="2" t="str">
        <f>"3.1.8.00.09- Multas e juros dedutiveis"</f>
        <v>3.1.8.00.09- Multas e juros dedutiveis</v>
      </c>
      <c r="B214" s="9">
        <v>1225.43</v>
      </c>
      <c r="C214" s="9">
        <v>0</v>
      </c>
      <c r="D214" s="9">
        <v>1225.43</v>
      </c>
    </row>
    <row r="215" spans="1:4" x14ac:dyDescent="0.3">
      <c r="A215" s="2" t="str">
        <f>"3.1.8.00.12- Acoes judiciais terceiros"</f>
        <v>3.1.8.00.12- Acoes judiciais terceiros</v>
      </c>
      <c r="B215" s="9">
        <v>9288</v>
      </c>
      <c r="C215" s="9">
        <v>4644</v>
      </c>
      <c r="D215" s="9">
        <v>13932</v>
      </c>
    </row>
    <row r="216" spans="1:4" x14ac:dyDescent="0.3">
      <c r="A216" s="2" t="str">
        <f>"3.1.8.00.16- Baixa de imobilizado"</f>
        <v>3.1.8.00.16- Baixa de imobilizado</v>
      </c>
      <c r="B216" s="9">
        <v>3376.93</v>
      </c>
      <c r="C216" s="9">
        <v>0</v>
      </c>
      <c r="D216" s="9">
        <v>3376.93</v>
      </c>
    </row>
    <row r="217" spans="1:4" x14ac:dyDescent="0.3">
      <c r="A217" s="2" t="str">
        <f>"3.1.8.00.23- Custas/Despesas Judiciais"</f>
        <v>3.1.8.00.23- Custas/Despesas Judiciais</v>
      </c>
      <c r="B217" s="9">
        <v>51795.12</v>
      </c>
      <c r="C217" s="9">
        <v>7629.29</v>
      </c>
      <c r="D217" s="9">
        <v>59424.41</v>
      </c>
    </row>
    <row r="218" spans="1:4" x14ac:dyDescent="0.3">
      <c r="A218" s="2" t="str">
        <f>"3.1.8.00.30- Estacionamento Rotativo Digital"</f>
        <v>3.1.8.00.30- Estacionamento Rotativo Digital</v>
      </c>
      <c r="B218" s="9">
        <v>1442801.87</v>
      </c>
      <c r="C218" s="9">
        <v>386098.14</v>
      </c>
      <c r="D218" s="9">
        <v>1828900.01</v>
      </c>
    </row>
    <row r="219" spans="1:4" x14ac:dyDescent="0.3">
      <c r="A219" s="2" t="str">
        <f>"3.1.8.00.99- Despesas diversas"</f>
        <v>3.1.8.00.99- Despesas diversas</v>
      </c>
      <c r="B219" s="9">
        <v>43340.4</v>
      </c>
      <c r="C219" s="9">
        <v>1491.22</v>
      </c>
      <c r="D219" s="9">
        <v>44831.62</v>
      </c>
    </row>
    <row r="220" spans="1:4" x14ac:dyDescent="0.3">
      <c r="A220" s="2" t="str">
        <f>""</f>
        <v/>
      </c>
      <c r="B220" s="3" t="str">
        <f>""</f>
        <v/>
      </c>
      <c r="C220" s="3" t="str">
        <f>""</f>
        <v/>
      </c>
      <c r="D220" s="3" t="str">
        <f>""</f>
        <v/>
      </c>
    </row>
    <row r="221" spans="1:4" x14ac:dyDescent="0.3">
      <c r="A221" s="2" t="str">
        <f>"RECEITAS"</f>
        <v>RECEITAS</v>
      </c>
      <c r="B221" s="3" t="str">
        <f>""</f>
        <v/>
      </c>
      <c r="C221" s="3" t="str">
        <f>""</f>
        <v/>
      </c>
      <c r="D221" s="3" t="str">
        <f>""</f>
        <v/>
      </c>
    </row>
    <row r="222" spans="1:4" x14ac:dyDescent="0.3">
      <c r="A222" s="2" t="str">
        <f>"4.0.0.00.00- RECEITAS"</f>
        <v>4.0.0.00.00- RECEITAS</v>
      </c>
      <c r="B222" s="9">
        <v>79498149.030000001</v>
      </c>
      <c r="C222" s="9">
        <v>20165811.370000001</v>
      </c>
      <c r="D222" s="9">
        <v>99663960.400000006</v>
      </c>
    </row>
    <row r="223" spans="1:4" x14ac:dyDescent="0.3">
      <c r="A223" s="2" t="str">
        <f>"4.1.0.00.00- RECEITAS BHTRANS"</f>
        <v>4.1.0.00.00- RECEITAS BHTRANS</v>
      </c>
      <c r="B223" s="9">
        <v>11196003.529999999</v>
      </c>
      <c r="C223" s="9">
        <v>2975738.98</v>
      </c>
      <c r="D223" s="9">
        <v>14171742.51</v>
      </c>
    </row>
    <row r="224" spans="1:4" x14ac:dyDescent="0.3">
      <c r="A224" s="2" t="str">
        <f>"4.1.1.00.00- RECEITAS OPERACIONAIS"</f>
        <v>4.1.1.00.00- RECEITAS OPERACIONAIS</v>
      </c>
      <c r="B224" s="9">
        <v>10718750</v>
      </c>
      <c r="C224" s="9">
        <v>2821500</v>
      </c>
      <c r="D224" s="9">
        <v>13540250</v>
      </c>
    </row>
    <row r="225" spans="1:4" x14ac:dyDescent="0.3">
      <c r="A225" s="2" t="str">
        <f>"4.1.1.00.18- Transf. financeira Convenios divervos"</f>
        <v>4.1.1.00.18- Transf. financeira Convenios divervos</v>
      </c>
      <c r="B225" s="9">
        <v>200000</v>
      </c>
      <c r="C225" s="9">
        <v>0</v>
      </c>
      <c r="D225" s="9">
        <v>200000</v>
      </c>
    </row>
    <row r="226" spans="1:4" x14ac:dyDescent="0.3">
      <c r="A226" s="2" t="str">
        <f>"4.1.1.00.21- Estacionamento Rotativo Digital"</f>
        <v>4.1.1.00.21- Estacionamento Rotativo Digital</v>
      </c>
      <c r="B226" s="9">
        <v>10518750</v>
      </c>
      <c r="C226" s="9">
        <v>2821500</v>
      </c>
      <c r="D226" s="9">
        <v>13340250</v>
      </c>
    </row>
    <row r="227" spans="1:4" x14ac:dyDescent="0.3">
      <c r="A227" s="2" t="str">
        <f>"4.1.8.00.00- RECEITAS ALUGUEIS ESTACOES"</f>
        <v>4.1.8.00.00- RECEITAS ALUGUEIS ESTACOES</v>
      </c>
      <c r="B227" s="9">
        <v>477253.53</v>
      </c>
      <c r="C227" s="9">
        <v>154238.98000000001</v>
      </c>
      <c r="D227" s="9">
        <v>631492.51</v>
      </c>
    </row>
    <row r="228" spans="1:4" x14ac:dyDescent="0.3">
      <c r="A228" s="2" t="str">
        <f>"4.1.8.00.01- Alugueis Estacoes"</f>
        <v>4.1.8.00.01- Alugueis Estacoes</v>
      </c>
      <c r="B228" s="9">
        <v>477253.53</v>
      </c>
      <c r="C228" s="9">
        <v>154238.98000000001</v>
      </c>
      <c r="D228" s="9">
        <v>631492.51</v>
      </c>
    </row>
    <row r="229" spans="1:4" x14ac:dyDescent="0.3">
      <c r="A229" s="2" t="str">
        <f>"4.2.0.00.00- RECEITAS FINANCEIRAS"</f>
        <v>4.2.0.00.00- RECEITAS FINANCEIRAS</v>
      </c>
      <c r="B229" s="9">
        <v>597500.24</v>
      </c>
      <c r="C229" s="9">
        <v>233060.08</v>
      </c>
      <c r="D229" s="9">
        <v>830560.32</v>
      </c>
    </row>
    <row r="230" spans="1:4" x14ac:dyDescent="0.3">
      <c r="A230" s="2" t="str">
        <f>"4.2.1.00.00- RECEITAS FINANCEIRAS"</f>
        <v>4.2.1.00.00- RECEITAS FINANCEIRAS</v>
      </c>
      <c r="B230" s="9">
        <v>597500.24</v>
      </c>
      <c r="C230" s="9">
        <v>233060.08</v>
      </c>
      <c r="D230" s="9">
        <v>830560.32</v>
      </c>
    </row>
    <row r="231" spans="1:4" x14ac:dyDescent="0.3">
      <c r="A231" s="2" t="str">
        <f>"4.2.1.00.01- Rendimentos aplic. Financeira"</f>
        <v>4.2.1.00.01- Rendimentos aplic. Financeira</v>
      </c>
      <c r="B231" s="9">
        <v>589839.59</v>
      </c>
      <c r="C231" s="9">
        <v>233060.08</v>
      </c>
      <c r="D231" s="9">
        <v>822899.67</v>
      </c>
    </row>
    <row r="232" spans="1:4" x14ac:dyDescent="0.3">
      <c r="A232" s="2" t="str">
        <f>"4.2.1.00.05- Receitas Financeiras"</f>
        <v>4.2.1.00.05- Receitas Financeiras</v>
      </c>
      <c r="B232" s="9">
        <v>7660.65</v>
      </c>
      <c r="C232" s="9">
        <v>0</v>
      </c>
      <c r="D232" s="9">
        <v>7660.65</v>
      </c>
    </row>
    <row r="233" spans="1:4" x14ac:dyDescent="0.3">
      <c r="A233" s="2" t="str">
        <f>"4.3.0.00.00- OUTRAS RECEITAS"</f>
        <v>4.3.0.00.00- OUTRAS RECEITAS</v>
      </c>
      <c r="B233" s="9">
        <v>67704645.260000005</v>
      </c>
      <c r="C233" s="9">
        <v>16957012.309999999</v>
      </c>
      <c r="D233" s="9">
        <v>84661657.569999993</v>
      </c>
    </row>
    <row r="234" spans="1:4" x14ac:dyDescent="0.3">
      <c r="A234" s="2" t="str">
        <f>"4.3.1.00.00- OUTRAS RECEITAS"</f>
        <v>4.3.1.00.00- OUTRAS RECEITAS</v>
      </c>
      <c r="B234" s="9">
        <v>67704645.260000005</v>
      </c>
      <c r="C234" s="9">
        <v>16957012.309999999</v>
      </c>
      <c r="D234" s="9">
        <v>84661657.569999993</v>
      </c>
    </row>
    <row r="235" spans="1:4" x14ac:dyDescent="0.3">
      <c r="A235" s="2" t="str">
        <f>"4.3.1.00.04- Receitas Diversas"</f>
        <v>4.3.1.00.04- Receitas Diversas</v>
      </c>
      <c r="B235" s="9">
        <v>404856.21</v>
      </c>
      <c r="C235" s="9">
        <v>82277.490000000005</v>
      </c>
      <c r="D235" s="9">
        <v>487133.7</v>
      </c>
    </row>
    <row r="236" spans="1:4" x14ac:dyDescent="0.3">
      <c r="A236" s="2" t="str">
        <f>"4.3.1.00.10- Outras Receitas- Subvenção Econ. Custeio"</f>
        <v>4.3.1.00.10- Outras Receitas- Subvenção Econ. Custeio</v>
      </c>
      <c r="B236" s="9">
        <v>67299789.049999997</v>
      </c>
      <c r="C236" s="9">
        <v>16874734.82</v>
      </c>
      <c r="D236" s="9">
        <v>84174523.870000005</v>
      </c>
    </row>
    <row r="237" spans="1:4" x14ac:dyDescent="0.3">
      <c r="A237" s="2" t="str">
        <f>""</f>
        <v/>
      </c>
      <c r="B237" s="3" t="str">
        <f>""</f>
        <v/>
      </c>
      <c r="C237" s="3" t="str">
        <f>""</f>
        <v/>
      </c>
      <c r="D237" s="3" t="str">
        <f>""</f>
        <v/>
      </c>
    </row>
    <row r="238" spans="1:4" x14ac:dyDescent="0.3">
      <c r="A238" s="2" t="str">
        <f>"APURACAO DE RESULTADOS"</f>
        <v>APURACAO DE RESULTADOS</v>
      </c>
      <c r="B238" s="3" t="str">
        <f>""</f>
        <v/>
      </c>
      <c r="C238" s="3" t="str">
        <f>""</f>
        <v/>
      </c>
      <c r="D238" s="3" t="str">
        <f>""</f>
        <v/>
      </c>
    </row>
    <row r="239" spans="1:4" x14ac:dyDescent="0.3">
      <c r="A239" s="2" t="str">
        <f>"5.0.0.00.00- APURACAO DE RESULTADOS"</f>
        <v>5.0.0.00.00- APURACAO DE RESULTADOS</v>
      </c>
      <c r="B239" s="9">
        <v>-1989750.88</v>
      </c>
      <c r="C239" s="9">
        <v>-1629649.52</v>
      </c>
      <c r="D239" s="9">
        <v>-3619400.4</v>
      </c>
    </row>
    <row r="240" spans="1:4" x14ac:dyDescent="0.3">
      <c r="A240" s="2" t="str">
        <f>"5.1.0.00.00- APURACAO DE RESULTADOS"</f>
        <v>5.1.0.00.00- APURACAO DE RESULTADOS</v>
      </c>
      <c r="B240" s="9">
        <v>-1989750.88</v>
      </c>
      <c r="C240" s="9">
        <v>-1629649.52</v>
      </c>
      <c r="D240" s="9">
        <v>-3619400.4</v>
      </c>
    </row>
    <row r="241" spans="1:4" x14ac:dyDescent="0.3">
      <c r="A241" s="2" t="str">
        <f>"5.1.1.00.00- APURACAO DE RESULTADOS"</f>
        <v>5.1.1.00.00- APURACAO DE RESULTADOS</v>
      </c>
      <c r="B241" s="9">
        <v>-1989750.88</v>
      </c>
      <c r="C241" s="9">
        <v>-1629649.52</v>
      </c>
      <c r="D241" s="9">
        <v>-3619400.4</v>
      </c>
    </row>
    <row r="242" spans="1:4" x14ac:dyDescent="0.3">
      <c r="A242" s="2" t="str">
        <f>"5.1.1.00.01- Transferencia das Despesas"</f>
        <v>5.1.1.00.01- Transferencia das Despesas</v>
      </c>
      <c r="B242" s="9">
        <v>-81487899.909999996</v>
      </c>
      <c r="C242" s="9">
        <v>-21795460.890000001</v>
      </c>
      <c r="D242" s="9">
        <v>-103283360.8</v>
      </c>
    </row>
    <row r="243" spans="1:4" ht="15" thickBot="1" x14ac:dyDescent="0.35">
      <c r="A243" s="4" t="str">
        <f>"5.1.1.00.02- Transferencia das Receitas"</f>
        <v>5.1.1.00.02- Transferencia das Receitas</v>
      </c>
      <c r="B243" s="10">
        <v>79498149.030000001</v>
      </c>
      <c r="C243" s="10">
        <v>20165811.370000001</v>
      </c>
      <c r="D243" s="10">
        <v>99663960.400000006</v>
      </c>
    </row>
    <row r="244" spans="1:4" x14ac:dyDescent="0.3">
      <c r="A244" t="s">
        <v>5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08971-2398-4824-BF82-0C7EB78E2AE0}">
  <dimension ref="A1:D246"/>
  <sheetViews>
    <sheetView tabSelected="1" workbookViewId="0"/>
  </sheetViews>
  <sheetFormatPr defaultRowHeight="14.4" x14ac:dyDescent="0.3"/>
  <cols>
    <col min="1" max="1" width="68.88671875" bestFit="1" customWidth="1"/>
    <col min="2" max="2" width="14.33203125" bestFit="1" customWidth="1"/>
    <col min="3" max="3" width="13.33203125" bestFit="1" customWidth="1"/>
    <col min="4" max="4" width="14.33203125" bestFit="1" customWidth="1"/>
  </cols>
  <sheetData>
    <row r="1" spans="1:4" ht="18.600000000000001" thickBot="1" x14ac:dyDescent="0.4">
      <c r="A1" s="1" t="s">
        <v>10</v>
      </c>
      <c r="B1" s="1"/>
      <c r="C1" s="1"/>
      <c r="D1" s="1"/>
    </row>
    <row r="2" spans="1:4" ht="15" thickBot="1" x14ac:dyDescent="0.35">
      <c r="A2" s="7" t="s">
        <v>1</v>
      </c>
      <c r="B2" s="8" t="s">
        <v>2</v>
      </c>
      <c r="C2" s="8" t="s">
        <v>3</v>
      </c>
      <c r="D2" s="8" t="s">
        <v>4</v>
      </c>
    </row>
    <row r="3" spans="1:4" x14ac:dyDescent="0.3">
      <c r="A3" s="5" t="str">
        <f>"ATIVO"</f>
        <v>ATIVO</v>
      </c>
      <c r="B3" s="6" t="str">
        <f>""</f>
        <v/>
      </c>
      <c r="C3" s="6" t="str">
        <f>""</f>
        <v/>
      </c>
      <c r="D3" s="6" t="str">
        <f>""</f>
        <v/>
      </c>
    </row>
    <row r="4" spans="1:4" x14ac:dyDescent="0.3">
      <c r="A4" s="2" t="str">
        <f>"1.0.0.00.00- ATIVO"</f>
        <v>1.0.0.00.00- ATIVO</v>
      </c>
      <c r="B4" s="9">
        <v>64601533.399999999</v>
      </c>
      <c r="C4" s="9">
        <v>2497430.1800000002</v>
      </c>
      <c r="D4" s="9">
        <v>67098963.579999998</v>
      </c>
    </row>
    <row r="5" spans="1:4" x14ac:dyDescent="0.3">
      <c r="A5" s="2" t="str">
        <f>"1.1.0.00.00- ATIVO CIRCULANTE"</f>
        <v>1.1.0.00.00- ATIVO CIRCULANTE</v>
      </c>
      <c r="B5" s="9">
        <v>30905248.57</v>
      </c>
      <c r="C5" s="9">
        <v>2436286.34</v>
      </c>
      <c r="D5" s="9">
        <v>33341534.91</v>
      </c>
    </row>
    <row r="6" spans="1:4" x14ac:dyDescent="0.3">
      <c r="A6" s="2" t="str">
        <f>"1.1.1.00.00- DISPONIVEL"</f>
        <v>1.1.1.00.00- DISPONIVEL</v>
      </c>
      <c r="B6" s="9">
        <v>22816886.379999999</v>
      </c>
      <c r="C6" s="9">
        <v>1564645.22</v>
      </c>
      <c r="D6" s="9">
        <v>24381531.600000001</v>
      </c>
    </row>
    <row r="7" spans="1:4" x14ac:dyDescent="0.3">
      <c r="A7" s="2" t="str">
        <f>"1.1.1.02.00- BANCOS C/MOVIMENTO"</f>
        <v>1.1.1.02.00- BANCOS C/MOVIMENTO</v>
      </c>
      <c r="B7" s="9">
        <v>491044.08</v>
      </c>
      <c r="C7" s="9">
        <v>-490286.43</v>
      </c>
      <c r="D7" s="9">
        <v>757.65</v>
      </c>
    </row>
    <row r="8" spans="1:4" x14ac:dyDescent="0.3">
      <c r="A8" s="2" t="str">
        <f>"1.1.1.02.31- Caixa Econômica Federal - 94511-6 - ROT"</f>
        <v>1.1.1.02.31- Caixa Econômica Federal - 94511-6 - ROT</v>
      </c>
      <c r="B8" s="9">
        <v>491044.08</v>
      </c>
      <c r="C8" s="9">
        <v>-490286.43</v>
      </c>
      <c r="D8" s="9">
        <v>757.65</v>
      </c>
    </row>
    <row r="9" spans="1:4" x14ac:dyDescent="0.3">
      <c r="A9" s="2" t="str">
        <f>"1.1.1.03.00- APLICACOES FINANCEIRAS"</f>
        <v>1.1.1.03.00- APLICACOES FINANCEIRAS</v>
      </c>
      <c r="B9" s="9">
        <v>20526640.640000001</v>
      </c>
      <c r="C9" s="9">
        <v>2036105.04</v>
      </c>
      <c r="D9" s="9">
        <v>22562745.68</v>
      </c>
    </row>
    <row r="10" spans="1:4" x14ac:dyDescent="0.3">
      <c r="A10" s="2" t="str">
        <f>"1.1.1.03.22- Caixa Econômica Federal - 94505-1"</f>
        <v>1.1.1.03.22- Caixa Econômica Federal - 94505-1</v>
      </c>
      <c r="B10" s="9">
        <v>1069924.96</v>
      </c>
      <c r="C10" s="9">
        <v>3752310.62</v>
      </c>
      <c r="D10" s="9">
        <v>4822235.58</v>
      </c>
    </row>
    <row r="11" spans="1:4" x14ac:dyDescent="0.3">
      <c r="A11" s="2" t="str">
        <f>"1.1.1.03.23- Caixa Econômica Federal - 94506-0"</f>
        <v>1.1.1.03.23- Caixa Econômica Federal - 94506-0</v>
      </c>
      <c r="B11" s="9">
        <v>19165610.079999998</v>
      </c>
      <c r="C11" s="9">
        <v>-1604602.34</v>
      </c>
      <c r="D11" s="9">
        <v>17561007.739999998</v>
      </c>
    </row>
    <row r="12" spans="1:4" x14ac:dyDescent="0.3">
      <c r="A12" s="2" t="str">
        <f>"1.1.1.03.32- Caixa Econômica Federal - 94513-2 Mídia"</f>
        <v>1.1.1.03.32- Caixa Econômica Federal - 94513-2 Mídia</v>
      </c>
      <c r="B12" s="9">
        <v>132918.54999999999</v>
      </c>
      <c r="C12" s="9">
        <v>1430.1</v>
      </c>
      <c r="D12" s="9">
        <v>134348.65</v>
      </c>
    </row>
    <row r="13" spans="1:4" x14ac:dyDescent="0.3">
      <c r="A13" s="2" t="str">
        <f>"1.1.1.03.36- Caixa Econômica Federal - 94528-0 Sucumb"</f>
        <v>1.1.1.03.36- Caixa Econômica Federal - 94528-0 Sucumb</v>
      </c>
      <c r="B13" s="9">
        <v>144597.71</v>
      </c>
      <c r="C13" s="9">
        <v>-113037.82</v>
      </c>
      <c r="D13" s="9">
        <v>31559.89</v>
      </c>
    </row>
    <row r="14" spans="1:4" x14ac:dyDescent="0.3">
      <c r="A14" s="2" t="str">
        <f>"1.1.1.03.49- Caixa Econômica Federal - 744797076-0"</f>
        <v>1.1.1.03.49- Caixa Econômica Federal - 744797076-0</v>
      </c>
      <c r="B14" s="9">
        <v>13589.34</v>
      </c>
      <c r="C14" s="9">
        <v>4.4800000000000004</v>
      </c>
      <c r="D14" s="9">
        <v>13593.82</v>
      </c>
    </row>
    <row r="15" spans="1:4" x14ac:dyDescent="0.3">
      <c r="A15" s="2" t="str">
        <f>"1.1.1.04.00- BANCOS C/VINCULADA"</f>
        <v>1.1.1.04.00- BANCOS C/VINCULADA</v>
      </c>
      <c r="B15" s="9">
        <v>1597280.87</v>
      </c>
      <c r="C15" s="9">
        <v>16797.96</v>
      </c>
      <c r="D15" s="9">
        <v>1614078.83</v>
      </c>
    </row>
    <row r="16" spans="1:4" x14ac:dyDescent="0.3">
      <c r="A16" s="2" t="str">
        <f>"1.1.1.04.10- Caixa Econômica Federal - 94521-3 Caução"</f>
        <v>1.1.1.04.10- Caixa Econômica Federal - 94521-3 Caução</v>
      </c>
      <c r="B16" s="9">
        <v>143676.19</v>
      </c>
      <c r="C16" s="9">
        <v>1508.02</v>
      </c>
      <c r="D16" s="9">
        <v>145184.21</v>
      </c>
    </row>
    <row r="17" spans="1:4" x14ac:dyDescent="0.3">
      <c r="A17" s="2" t="str">
        <f>"1.1.1.04.12- Caixa Econômica Federal - 94627-9 Leilão"</f>
        <v>1.1.1.04.12- Caixa Econômica Federal - 94627-9 Leilão</v>
      </c>
      <c r="B17" s="9">
        <v>1453604.68</v>
      </c>
      <c r="C17" s="9">
        <v>15289.94</v>
      </c>
      <c r="D17" s="9">
        <v>1468894.62</v>
      </c>
    </row>
    <row r="18" spans="1:4" x14ac:dyDescent="0.3">
      <c r="A18" s="2" t="str">
        <f>"1.1.1.05.00- BANCOS C/VINCULAD-CONVENIO"</f>
        <v>1.1.1.05.00- BANCOS C/VINCULAD-CONVENIO</v>
      </c>
      <c r="B18" s="9">
        <v>201920.79</v>
      </c>
      <c r="C18" s="9">
        <v>2028.65</v>
      </c>
      <c r="D18" s="9">
        <v>203949.44</v>
      </c>
    </row>
    <row r="19" spans="1:4" x14ac:dyDescent="0.3">
      <c r="A19" s="2" t="str">
        <f>"1.1.1.05.29- Projeto Vida no Trânsito 576371382-2 APL"</f>
        <v>1.1.1.05.29- Projeto Vida no Trânsito 576371382-2 APL</v>
      </c>
      <c r="B19" s="9">
        <v>201920.79</v>
      </c>
      <c r="C19" s="9">
        <v>2028.65</v>
      </c>
      <c r="D19" s="9">
        <v>203949.44</v>
      </c>
    </row>
    <row r="20" spans="1:4" x14ac:dyDescent="0.3">
      <c r="A20" s="2" t="str">
        <f>"1.1.2.00.00- REALIZAVEL A CURTO PRAZO"</f>
        <v>1.1.2.00.00- REALIZAVEL A CURTO PRAZO</v>
      </c>
      <c r="B20" s="9">
        <v>8088362.1900000004</v>
      </c>
      <c r="C20" s="9">
        <v>871641.12</v>
      </c>
      <c r="D20" s="9">
        <v>8960003.3100000005</v>
      </c>
    </row>
    <row r="21" spans="1:4" x14ac:dyDescent="0.3">
      <c r="A21" s="2" t="str">
        <f>"1.1.2.01.00- CONTAS A RECEBER"</f>
        <v>1.1.2.01.00- CONTAS A RECEBER</v>
      </c>
      <c r="B21" s="9">
        <v>253567.34</v>
      </c>
      <c r="C21" s="9">
        <v>0</v>
      </c>
      <c r="D21" s="9">
        <v>253567.34</v>
      </c>
    </row>
    <row r="22" spans="1:4" x14ac:dyDescent="0.3">
      <c r="A22" s="2" t="str">
        <f>"1.1.2.01.94- Midia Onibus a Receber"</f>
        <v>1.1.2.01.94- Midia Onibus a Receber</v>
      </c>
      <c r="B22" s="9">
        <v>253567.34</v>
      </c>
      <c r="C22" s="9">
        <v>0</v>
      </c>
      <c r="D22" s="9">
        <v>253567.34</v>
      </c>
    </row>
    <row r="23" spans="1:4" x14ac:dyDescent="0.3">
      <c r="A23" s="2" t="str">
        <f>"1.1.2.06.00- ADIANTAMENTO A EMPREGADOS"</f>
        <v>1.1.2.06.00- ADIANTAMENTO A EMPREGADOS</v>
      </c>
      <c r="B23" s="9">
        <v>2612558.17</v>
      </c>
      <c r="C23" s="9">
        <v>756552</v>
      </c>
      <c r="D23" s="9">
        <v>3369110.17</v>
      </c>
    </row>
    <row r="24" spans="1:4" x14ac:dyDescent="0.3">
      <c r="A24" s="2" t="str">
        <f>"1.1.2.06.01- Adiantamento de Ferias"</f>
        <v>1.1.2.06.01- Adiantamento de Ferias</v>
      </c>
      <c r="B24" s="9">
        <v>837104.23</v>
      </c>
      <c r="C24" s="9">
        <v>591941.14</v>
      </c>
      <c r="D24" s="9">
        <v>1429045.37</v>
      </c>
    </row>
    <row r="25" spans="1:4" x14ac:dyDescent="0.3">
      <c r="A25" s="2" t="str">
        <f>"1.1.2.06.02- Adiantamento de 13. Salario"</f>
        <v>1.1.2.06.02- Adiantamento de 13. Salario</v>
      </c>
      <c r="B25" s="9">
        <v>1691240.51</v>
      </c>
      <c r="C25" s="9">
        <v>137307.76999999999</v>
      </c>
      <c r="D25" s="9">
        <v>1828548.28</v>
      </c>
    </row>
    <row r="26" spans="1:4" x14ac:dyDescent="0.3">
      <c r="A26" s="2" t="str">
        <f>"1.1.2.06.03- Adiant. de Salario/Parc. Ferias"</f>
        <v>1.1.2.06.03- Adiant. de Salario/Parc. Ferias</v>
      </c>
      <c r="B26" s="9">
        <v>75252.320000000007</v>
      </c>
      <c r="C26" s="9">
        <v>20745.189999999999</v>
      </c>
      <c r="D26" s="9">
        <v>95997.51</v>
      </c>
    </row>
    <row r="27" spans="1:4" x14ac:dyDescent="0.3">
      <c r="A27" s="2" t="str">
        <f>"1.1.2.06.07- Adiantamento Pensao s/ Ferias"</f>
        <v>1.1.2.06.07- Adiantamento Pensao s/ Ferias</v>
      </c>
      <c r="B27" s="9">
        <v>8961.11</v>
      </c>
      <c r="C27" s="9">
        <v>6557.9</v>
      </c>
      <c r="D27" s="9">
        <v>15519.01</v>
      </c>
    </row>
    <row r="28" spans="1:4" x14ac:dyDescent="0.3">
      <c r="A28" s="2" t="str">
        <f>"1.1.2.08.00- ALMOXARIFADO"</f>
        <v>1.1.2.08.00- ALMOXARIFADO</v>
      </c>
      <c r="B28" s="9">
        <v>581250.46</v>
      </c>
      <c r="C28" s="9">
        <v>-11898.04</v>
      </c>
      <c r="D28" s="9">
        <v>569352.42000000004</v>
      </c>
    </row>
    <row r="29" spans="1:4" x14ac:dyDescent="0.3">
      <c r="A29" s="2" t="str">
        <f>"1.1.2.08.01- Material em Estoque"</f>
        <v>1.1.2.08.01- Material em Estoque</v>
      </c>
      <c r="B29" s="9">
        <v>581250.46</v>
      </c>
      <c r="C29" s="9">
        <v>-11898.04</v>
      </c>
      <c r="D29" s="9">
        <v>569352.42000000004</v>
      </c>
    </row>
    <row r="30" spans="1:4" x14ac:dyDescent="0.3">
      <c r="A30" s="2" t="str">
        <f>"1.1.2.10.00- IMPOSTOS E CONTRIB.A RECUPERAR"</f>
        <v>1.1.2.10.00- IMPOSTOS E CONTRIB.A RECUPERAR</v>
      </c>
      <c r="B30" s="9">
        <v>4954345.76</v>
      </c>
      <c r="C30" s="9">
        <v>29245.09</v>
      </c>
      <c r="D30" s="9">
        <v>4983590.8499999996</v>
      </c>
    </row>
    <row r="31" spans="1:4" x14ac:dyDescent="0.3">
      <c r="A31" s="2" t="str">
        <f>"1.1.2.10.01- IR s/Aplicacao Financeira"</f>
        <v>1.1.2.10.01- IR s/Aplicacao Financeira</v>
      </c>
      <c r="B31" s="9">
        <v>475187.21</v>
      </c>
      <c r="C31" s="9">
        <v>55785.43</v>
      </c>
      <c r="D31" s="9">
        <v>530972.64</v>
      </c>
    </row>
    <row r="32" spans="1:4" x14ac:dyDescent="0.3">
      <c r="A32" s="2" t="str">
        <f>"1.1.2.10.15- Cofins a Compensar"</f>
        <v>1.1.2.10.15- Cofins a Compensar</v>
      </c>
      <c r="B32" s="9">
        <v>3668677.46</v>
      </c>
      <c r="C32" s="9">
        <v>-22298.67</v>
      </c>
      <c r="D32" s="9">
        <v>3646378.79</v>
      </c>
    </row>
    <row r="33" spans="1:4" x14ac:dyDescent="0.3">
      <c r="A33" s="2" t="str">
        <f>"1.1.2.10.16- PIS a Compensar"</f>
        <v>1.1.2.10.16- PIS a Compensar</v>
      </c>
      <c r="B33" s="9">
        <v>810481.09</v>
      </c>
      <c r="C33" s="9">
        <v>-4241.67</v>
      </c>
      <c r="D33" s="9">
        <v>806239.42</v>
      </c>
    </row>
    <row r="34" spans="1:4" x14ac:dyDescent="0.3">
      <c r="A34" s="2" t="str">
        <f>"1.1.2.11.00- DESPESAS ANTECIPADAS"</f>
        <v>1.1.2.11.00- DESPESAS ANTECIPADAS</v>
      </c>
      <c r="B34" s="9">
        <v>5293.54</v>
      </c>
      <c r="C34" s="9">
        <v>19307.580000000002</v>
      </c>
      <c r="D34" s="9">
        <v>24601.119999999999</v>
      </c>
    </row>
    <row r="35" spans="1:4" x14ac:dyDescent="0.3">
      <c r="A35" s="2" t="str">
        <f>"1.1.2.11.01- Premios de Seguros a Vencer"</f>
        <v>1.1.2.11.01- Premios de Seguros a Vencer</v>
      </c>
      <c r="B35" s="9">
        <v>5293.54</v>
      </c>
      <c r="C35" s="9">
        <v>19307.580000000002</v>
      </c>
      <c r="D35" s="9">
        <v>24601.119999999999</v>
      </c>
    </row>
    <row r="36" spans="1:4" x14ac:dyDescent="0.3">
      <c r="A36" s="2" t="str">
        <f>"1.1.2.14.00- CONTAS TRANSITORIAS - GRUPO ATIVO"</f>
        <v>1.1.2.14.00- CONTAS TRANSITORIAS - GRUPO ATIVO</v>
      </c>
      <c r="B36" s="9">
        <v>-318653.08</v>
      </c>
      <c r="C36" s="9">
        <v>78434.490000000005</v>
      </c>
      <c r="D36" s="9">
        <v>-240218.59</v>
      </c>
    </row>
    <row r="37" spans="1:4" x14ac:dyDescent="0.3">
      <c r="A37" s="2" t="str">
        <f>"1.1.2.14.07- Transitoria de Imposto"</f>
        <v>1.1.2.14.07- Transitoria de Imposto</v>
      </c>
      <c r="B37" s="9">
        <v>-318653.08</v>
      </c>
      <c r="C37" s="9">
        <v>78434.490000000005</v>
      </c>
      <c r="D37" s="9">
        <v>-240218.59</v>
      </c>
    </row>
    <row r="38" spans="1:4" x14ac:dyDescent="0.3">
      <c r="A38" s="2" t="str">
        <f>"1.2.0.00.00- ATIVO NAO CIRCULANTE"</f>
        <v>1.2.0.00.00- ATIVO NAO CIRCULANTE</v>
      </c>
      <c r="B38" s="9">
        <v>33696284.829999998</v>
      </c>
      <c r="C38" s="9">
        <v>61143.839999999997</v>
      </c>
      <c r="D38" s="9">
        <v>33757428.670000002</v>
      </c>
    </row>
    <row r="39" spans="1:4" x14ac:dyDescent="0.3">
      <c r="A39" s="2" t="str">
        <f>"1.2.1.00.00- REALIZAVEL A LONGO PRAZO"</f>
        <v>1.2.1.00.00- REALIZAVEL A LONGO PRAZO</v>
      </c>
      <c r="B39" s="9">
        <v>32480260.48</v>
      </c>
      <c r="C39" s="9">
        <v>86831.27</v>
      </c>
      <c r="D39" s="9">
        <v>32567091.75</v>
      </c>
    </row>
    <row r="40" spans="1:4" x14ac:dyDescent="0.3">
      <c r="A40" s="2" t="str">
        <f>"1.2.1.01.00- CREDITOS E VALORES A RECEBER"</f>
        <v>1.2.1.01.00- CREDITOS E VALORES A RECEBER</v>
      </c>
      <c r="B40" s="9">
        <v>32480260.48</v>
      </c>
      <c r="C40" s="9">
        <v>86831.27</v>
      </c>
      <c r="D40" s="9">
        <v>32567091.75</v>
      </c>
    </row>
    <row r="41" spans="1:4" x14ac:dyDescent="0.3">
      <c r="A41" s="2" t="str">
        <f>"1.2.1.01.01- Depositos Judiciais"</f>
        <v>1.2.1.01.01- Depositos Judiciais</v>
      </c>
      <c r="B41" s="9">
        <v>420789.95</v>
      </c>
      <c r="C41" s="9">
        <v>86831.27</v>
      </c>
      <c r="D41" s="9">
        <v>507621.22</v>
      </c>
    </row>
    <row r="42" spans="1:4" x14ac:dyDescent="0.3">
      <c r="A42" s="2" t="str">
        <f>"1.2.1.01.04- Convenio Prefeitura Betim"</f>
        <v>1.2.1.01.04- Convenio Prefeitura Betim</v>
      </c>
      <c r="B42" s="9">
        <v>891.18</v>
      </c>
      <c r="C42" s="9">
        <v>0</v>
      </c>
      <c r="D42" s="9">
        <v>891.18</v>
      </c>
    </row>
    <row r="43" spans="1:4" x14ac:dyDescent="0.3">
      <c r="A43" s="2" t="str">
        <f>"1.2.1.01.05- Convenio IPSEMG"</f>
        <v>1.2.1.01.05- Convenio IPSEMG</v>
      </c>
      <c r="B43" s="9">
        <v>21163.53</v>
      </c>
      <c r="C43" s="9">
        <v>0</v>
      </c>
      <c r="D43" s="9">
        <v>21163.53</v>
      </c>
    </row>
    <row r="44" spans="1:4" x14ac:dyDescent="0.3">
      <c r="A44" s="2" t="str">
        <f>"1.2.1.01.06- Multas Transporte Coletivo"</f>
        <v>1.2.1.01.06- Multas Transporte Coletivo</v>
      </c>
      <c r="B44" s="9">
        <v>40046769.780000001</v>
      </c>
      <c r="C44" s="9">
        <v>0</v>
      </c>
      <c r="D44" s="9">
        <v>40046769.780000001</v>
      </c>
    </row>
    <row r="45" spans="1:4" x14ac:dyDescent="0.3">
      <c r="A45" s="2" t="str">
        <f>"1.2.1.01.07- (-) Provisao para Perdas"</f>
        <v>1.2.1.01.07- (-) Provisao para Perdas</v>
      </c>
      <c r="B45" s="9">
        <v>-8009353.96</v>
      </c>
      <c r="C45" s="9">
        <v>0</v>
      </c>
      <c r="D45" s="9">
        <v>-8009353.96</v>
      </c>
    </row>
    <row r="46" spans="1:4" x14ac:dyDescent="0.3">
      <c r="A46" s="2" t="str">
        <f>"1.3.1.00.00- INVESTIMENTOS"</f>
        <v>1.3.1.00.00- INVESTIMENTOS</v>
      </c>
      <c r="B46" s="9">
        <v>26152.19</v>
      </c>
      <c r="C46" s="9">
        <v>0</v>
      </c>
      <c r="D46" s="9">
        <v>26152.19</v>
      </c>
    </row>
    <row r="47" spans="1:4" x14ac:dyDescent="0.3">
      <c r="A47" s="2" t="str">
        <f>"1.3.1.01.00- OUTROS INVESTIMENTOS"</f>
        <v>1.3.1.01.00- OUTROS INVESTIMENTOS</v>
      </c>
      <c r="B47" s="9">
        <v>26152.19</v>
      </c>
      <c r="C47" s="9">
        <v>0</v>
      </c>
      <c r="D47" s="9">
        <v>26152.19</v>
      </c>
    </row>
    <row r="48" spans="1:4" x14ac:dyDescent="0.3">
      <c r="A48" s="2" t="str">
        <f>"1.3.1.01.01- Obras de Arte"</f>
        <v>1.3.1.01.01- Obras de Arte</v>
      </c>
      <c r="B48" s="9">
        <v>25200</v>
      </c>
      <c r="C48" s="9">
        <v>0</v>
      </c>
      <c r="D48" s="9">
        <v>25200</v>
      </c>
    </row>
    <row r="49" spans="1:4" x14ac:dyDescent="0.3">
      <c r="A49" s="2" t="str">
        <f>"1.3.1.01.02- Participações Societárias - PBH ATIVOS"</f>
        <v>1.3.1.01.02- Participações Societárias - PBH ATIVOS</v>
      </c>
      <c r="B49" s="9">
        <v>952.19</v>
      </c>
      <c r="C49" s="9">
        <v>0</v>
      </c>
      <c r="D49" s="9">
        <v>952.19</v>
      </c>
    </row>
    <row r="50" spans="1:4" x14ac:dyDescent="0.3">
      <c r="A50" s="2" t="str">
        <f>"1.3.2.00.00- IMOBILIZADO"</f>
        <v>1.3.2.00.00- IMOBILIZADO</v>
      </c>
      <c r="B50" s="9">
        <v>6833325.0999999996</v>
      </c>
      <c r="C50" s="9">
        <v>0</v>
      </c>
      <c r="D50" s="9">
        <v>6833325.0999999996</v>
      </c>
    </row>
    <row r="51" spans="1:4" x14ac:dyDescent="0.3">
      <c r="A51" s="2" t="str">
        <f>"1.3.2.01.01- Maquinas e equipamentos"</f>
        <v>1.3.2.01.01- Maquinas e equipamentos</v>
      </c>
      <c r="B51" s="9">
        <v>243087.09</v>
      </c>
      <c r="C51" s="9">
        <v>0</v>
      </c>
      <c r="D51" s="9">
        <v>243087.09</v>
      </c>
    </row>
    <row r="52" spans="1:4" x14ac:dyDescent="0.3">
      <c r="A52" s="2" t="str">
        <f>"1.3.2.02.01- Ferramentas"</f>
        <v>1.3.2.02.01- Ferramentas</v>
      </c>
      <c r="B52" s="9">
        <v>8159.81</v>
      </c>
      <c r="C52" s="9">
        <v>0</v>
      </c>
      <c r="D52" s="9">
        <v>8159.81</v>
      </c>
    </row>
    <row r="53" spans="1:4" x14ac:dyDescent="0.3">
      <c r="A53" s="2" t="str">
        <f>"1.3.2.03.01- Equipamentos de comunicacao"</f>
        <v>1.3.2.03.01- Equipamentos de comunicacao</v>
      </c>
      <c r="B53" s="9">
        <v>636196.65</v>
      </c>
      <c r="C53" s="9">
        <v>0</v>
      </c>
      <c r="D53" s="9">
        <v>636196.65</v>
      </c>
    </row>
    <row r="54" spans="1:4" x14ac:dyDescent="0.3">
      <c r="A54" s="2" t="str">
        <f>"1.3.2.04.01- Instalacoes"</f>
        <v>1.3.2.04.01- Instalacoes</v>
      </c>
      <c r="B54" s="9">
        <v>89886.56</v>
      </c>
      <c r="C54" s="9">
        <v>0</v>
      </c>
      <c r="D54" s="9">
        <v>89886.56</v>
      </c>
    </row>
    <row r="55" spans="1:4" x14ac:dyDescent="0.3">
      <c r="A55" s="2" t="str">
        <f>"1.3.2.06.01- Moveis e utensilios"</f>
        <v>1.3.2.06.01- Moveis e utensilios</v>
      </c>
      <c r="B55" s="9">
        <v>448610.61</v>
      </c>
      <c r="C55" s="9">
        <v>0</v>
      </c>
      <c r="D55" s="9">
        <v>448610.61</v>
      </c>
    </row>
    <row r="56" spans="1:4" x14ac:dyDescent="0.3">
      <c r="A56" s="2" t="str">
        <f>"1.3.2.08.01- Instalacoes administrativas"</f>
        <v>1.3.2.08.01- Instalacoes administrativas</v>
      </c>
      <c r="B56" s="9">
        <v>98491.4</v>
      </c>
      <c r="C56" s="9">
        <v>0</v>
      </c>
      <c r="D56" s="9">
        <v>98491.4</v>
      </c>
    </row>
    <row r="57" spans="1:4" x14ac:dyDescent="0.3">
      <c r="A57" s="2" t="str">
        <f>"1.3.2.09.01- Aparelhos/equipamentos diversos"</f>
        <v>1.3.2.09.01- Aparelhos/equipamentos diversos</v>
      </c>
      <c r="B57" s="9">
        <v>620810.93000000005</v>
      </c>
      <c r="C57" s="9">
        <v>0</v>
      </c>
      <c r="D57" s="9">
        <v>620810.93000000005</v>
      </c>
    </row>
    <row r="58" spans="1:4" x14ac:dyDescent="0.3">
      <c r="A58" s="2" t="str">
        <f>"1.3.2.10.01- Equip. p/ processamento de dados"</f>
        <v>1.3.2.10.01- Equip. p/ processamento de dados</v>
      </c>
      <c r="B58" s="9">
        <v>1494365.77</v>
      </c>
      <c r="C58" s="9">
        <v>0</v>
      </c>
      <c r="D58" s="9">
        <v>1494365.77</v>
      </c>
    </row>
    <row r="59" spans="1:4" x14ac:dyDescent="0.3">
      <c r="A59" s="2" t="str">
        <f>"1.3.2.12.01- Micros/impressoras e acessorios"</f>
        <v>1.3.2.12.01- Micros/impressoras e acessorios</v>
      </c>
      <c r="B59" s="9">
        <v>1421370.36</v>
      </c>
      <c r="C59" s="9">
        <v>0</v>
      </c>
      <c r="D59" s="9">
        <v>1421370.36</v>
      </c>
    </row>
    <row r="60" spans="1:4" x14ac:dyDescent="0.3">
      <c r="A60" s="2" t="str">
        <f>"1.3.2.13.01- Imobilizacao em imoveis de terceiros"</f>
        <v>1.3.2.13.01- Imobilizacao em imoveis de terceiros</v>
      </c>
      <c r="B60" s="9">
        <v>609961.46</v>
      </c>
      <c r="C60" s="9">
        <v>0</v>
      </c>
      <c r="D60" s="9">
        <v>609961.46</v>
      </c>
    </row>
    <row r="61" spans="1:4" x14ac:dyDescent="0.3">
      <c r="A61" s="2" t="str">
        <f>"1.3.2.14.01- Estacao Diamante"</f>
        <v>1.3.2.14.01- Estacao Diamante</v>
      </c>
      <c r="B61" s="9">
        <v>1162384.46</v>
      </c>
      <c r="C61" s="9">
        <v>0</v>
      </c>
      <c r="D61" s="9">
        <v>1162384.46</v>
      </c>
    </row>
    <row r="62" spans="1:4" x14ac:dyDescent="0.3">
      <c r="A62" s="2" t="str">
        <f>"1.3.3.00.00- INTANGIVEL"</f>
        <v>1.3.3.00.00- INTANGIVEL</v>
      </c>
      <c r="B62" s="9">
        <v>37558</v>
      </c>
      <c r="C62" s="9">
        <v>0</v>
      </c>
      <c r="D62" s="9">
        <v>37558</v>
      </c>
    </row>
    <row r="63" spans="1:4" x14ac:dyDescent="0.3">
      <c r="A63" s="2" t="str">
        <f>"1.3.3.03.00- MARCAS E PATENTES"</f>
        <v>1.3.3.03.00- MARCAS E PATENTES</v>
      </c>
      <c r="B63" s="9">
        <v>808</v>
      </c>
      <c r="C63" s="9">
        <v>0</v>
      </c>
      <c r="D63" s="9">
        <v>808</v>
      </c>
    </row>
    <row r="64" spans="1:4" x14ac:dyDescent="0.3">
      <c r="A64" s="2" t="str">
        <f>"1.3.3.03.01- Marcas e Patentes"</f>
        <v>1.3.3.03.01- Marcas e Patentes</v>
      </c>
      <c r="B64" s="9">
        <v>808</v>
      </c>
      <c r="C64" s="9">
        <v>0</v>
      </c>
      <c r="D64" s="9">
        <v>808</v>
      </c>
    </row>
    <row r="65" spans="1:4" x14ac:dyDescent="0.3">
      <c r="A65" s="2" t="str">
        <f>"1.3.3.04.01- Programas e Sistemas"</f>
        <v>1.3.3.04.01- Programas e Sistemas</v>
      </c>
      <c r="B65" s="9">
        <v>36750</v>
      </c>
      <c r="C65" s="9">
        <v>0</v>
      </c>
      <c r="D65" s="9">
        <v>36750</v>
      </c>
    </row>
    <row r="66" spans="1:4" x14ac:dyDescent="0.3">
      <c r="A66" s="2" t="str">
        <f>"1.3.5.00.00- ( - )DEPRECIACAO E AMORTIZACAO"</f>
        <v>1.3.5.00.00- ( - )DEPRECIACAO E AMORTIZACAO</v>
      </c>
      <c r="B66" s="9">
        <v>-5681010.9400000004</v>
      </c>
      <c r="C66" s="9">
        <v>-25687.43</v>
      </c>
      <c r="D66" s="9">
        <v>-5706698.3700000001</v>
      </c>
    </row>
    <row r="67" spans="1:4" x14ac:dyDescent="0.3">
      <c r="A67" s="2" t="str">
        <f>"1.3.5.01.00- ( - ) DEPRECIACAO E AMORTIZACAO"</f>
        <v>1.3.5.01.00- ( - ) DEPRECIACAO E AMORTIZACAO</v>
      </c>
      <c r="B67" s="9">
        <v>-5681010.9400000004</v>
      </c>
      <c r="C67" s="9">
        <v>-25687.43</v>
      </c>
      <c r="D67" s="9">
        <v>-5706698.3700000001</v>
      </c>
    </row>
    <row r="68" spans="1:4" x14ac:dyDescent="0.3">
      <c r="A68" s="2" t="str">
        <f>"1.3.5.01.01- ( - ) Moveis e Utensilios"</f>
        <v>1.3.5.01.01- ( - ) Moveis e Utensilios</v>
      </c>
      <c r="B68" s="9">
        <v>-426644.57</v>
      </c>
      <c r="C68" s="9">
        <v>-304.42</v>
      </c>
      <c r="D68" s="9">
        <v>-426948.99</v>
      </c>
    </row>
    <row r="69" spans="1:4" x14ac:dyDescent="0.3">
      <c r="A69" s="2" t="str">
        <f>"1.3.5.01.02- ( - ) Aparelhos/Equipamentos Diversos"</f>
        <v>1.3.5.01.02- ( - ) Aparelhos/Equipamentos Diversos</v>
      </c>
      <c r="B69" s="9">
        <v>-565044.85</v>
      </c>
      <c r="C69" s="9">
        <v>-1977.42</v>
      </c>
      <c r="D69" s="9">
        <v>-567022.27</v>
      </c>
    </row>
    <row r="70" spans="1:4" x14ac:dyDescent="0.3">
      <c r="A70" s="2" t="str">
        <f>"1.3.5.01.03- ( - ) Instalacoes Administrativas"</f>
        <v>1.3.5.01.03- ( - ) Instalacoes Administrativas</v>
      </c>
      <c r="B70" s="9">
        <v>-98491.4</v>
      </c>
      <c r="C70" s="9">
        <v>0</v>
      </c>
      <c r="D70" s="9">
        <v>-98491.4</v>
      </c>
    </row>
    <row r="71" spans="1:4" x14ac:dyDescent="0.3">
      <c r="A71" s="2" t="str">
        <f>"1.3.5.01.05- ( - ) Impressoras e Micros"</f>
        <v>1.3.5.01.05- ( - ) Impressoras e Micros</v>
      </c>
      <c r="B71" s="9">
        <v>-2181797.15</v>
      </c>
      <c r="C71" s="9">
        <v>-12687.63</v>
      </c>
      <c r="D71" s="9">
        <v>-2194484.7799999998</v>
      </c>
    </row>
    <row r="72" spans="1:4" x14ac:dyDescent="0.3">
      <c r="A72" s="2" t="str">
        <f>"1.3.5.01.06- ( - ) Maquinas e Equipamentos"</f>
        <v>1.3.5.01.06- ( - ) Maquinas e Equipamentos</v>
      </c>
      <c r="B72" s="9">
        <v>-215993.54</v>
      </c>
      <c r="C72" s="9">
        <v>-506.56</v>
      </c>
      <c r="D72" s="9">
        <v>-216500.1</v>
      </c>
    </row>
    <row r="73" spans="1:4" x14ac:dyDescent="0.3">
      <c r="A73" s="2" t="str">
        <f>"1.3.5.01.07- ( - ) Equipamentos de Comunicacao"</f>
        <v>1.3.5.01.07- ( - ) Equipamentos de Comunicacao</v>
      </c>
      <c r="B73" s="9">
        <v>-512783.73</v>
      </c>
      <c r="C73" s="9">
        <v>-7995.34</v>
      </c>
      <c r="D73" s="9">
        <v>-520779.07</v>
      </c>
    </row>
    <row r="74" spans="1:4" x14ac:dyDescent="0.3">
      <c r="A74" s="2" t="str">
        <f>"1.3.5.01.08- ( - ) Instalacoes Operacionais"</f>
        <v>1.3.5.01.08- ( - ) Instalacoes Operacionais</v>
      </c>
      <c r="B74" s="9">
        <v>-85662</v>
      </c>
      <c r="C74" s="9">
        <v>-182.86</v>
      </c>
      <c r="D74" s="9">
        <v>-85844.86</v>
      </c>
    </row>
    <row r="75" spans="1:4" x14ac:dyDescent="0.3">
      <c r="A75" s="2" t="str">
        <f>"1.3.5.01.09- ( - ) Programas (Softwares)"</f>
        <v>1.3.5.01.09- ( - ) Programas (Softwares)</v>
      </c>
      <c r="B75" s="9">
        <v>-36750</v>
      </c>
      <c r="C75" s="9">
        <v>0</v>
      </c>
      <c r="D75" s="9">
        <v>-36750</v>
      </c>
    </row>
    <row r="76" spans="1:4" x14ac:dyDescent="0.3">
      <c r="A76" s="2" t="str">
        <f>"1.3.5.01.14- ( - ) Ferramentas"</f>
        <v>1.3.5.01.14- ( - ) Ferramentas</v>
      </c>
      <c r="B76" s="9">
        <v>-8159.81</v>
      </c>
      <c r="C76" s="9">
        <v>0</v>
      </c>
      <c r="D76" s="9">
        <v>-8159.81</v>
      </c>
    </row>
    <row r="77" spans="1:4" x14ac:dyDescent="0.3">
      <c r="A77" s="2" t="str">
        <f>"1.3.5.01.15- ( - ) Imobilizacoes em Imov. Terceiros"</f>
        <v>1.3.5.01.15- ( - ) Imobilizacoes em Imov. Terceiros</v>
      </c>
      <c r="B77" s="9">
        <v>-1549683.89</v>
      </c>
      <c r="C77" s="9">
        <v>-2033.2</v>
      </c>
      <c r="D77" s="9">
        <v>-1551717.09</v>
      </c>
    </row>
    <row r="78" spans="1:4" x14ac:dyDescent="0.3">
      <c r="A78" s="2" t="str">
        <f>""</f>
        <v/>
      </c>
      <c r="B78" s="3" t="str">
        <f>""</f>
        <v/>
      </c>
      <c r="C78" s="3" t="str">
        <f>""</f>
        <v/>
      </c>
      <c r="D78" s="3" t="str">
        <f>""</f>
        <v/>
      </c>
    </row>
    <row r="79" spans="1:4" x14ac:dyDescent="0.3">
      <c r="A79" s="2" t="str">
        <f>"PASSIVO"</f>
        <v>PASSIVO</v>
      </c>
      <c r="B79" s="3" t="str">
        <f>""</f>
        <v/>
      </c>
      <c r="C79" s="3" t="str">
        <f>""</f>
        <v/>
      </c>
      <c r="D79" s="3" t="str">
        <f>""</f>
        <v/>
      </c>
    </row>
    <row r="80" spans="1:4" x14ac:dyDescent="0.3">
      <c r="A80" s="2" t="str">
        <f>"2.0.0.00.00- PASSIVO"</f>
        <v>2.0.0.00.00- PASSIVO</v>
      </c>
      <c r="B80" s="9">
        <v>64601533.399999999</v>
      </c>
      <c r="C80" s="9">
        <v>2497430.1800000002</v>
      </c>
      <c r="D80" s="9">
        <v>67098963.579999998</v>
      </c>
    </row>
    <row r="81" spans="1:4" x14ac:dyDescent="0.3">
      <c r="A81" s="2" t="str">
        <f>"2.1.0.00.00- PASSIVO CIRCULANTE"</f>
        <v>2.1.0.00.00- PASSIVO CIRCULANTE</v>
      </c>
      <c r="B81" s="9">
        <v>39404097.119999997</v>
      </c>
      <c r="C81" s="9">
        <v>1282104.54</v>
      </c>
      <c r="D81" s="9">
        <v>40686201.659999996</v>
      </c>
    </row>
    <row r="82" spans="1:4" x14ac:dyDescent="0.3">
      <c r="A82" s="2" t="str">
        <f>"2.1.1.00.00- OBRIGACOES COM PESSOAL"</f>
        <v>2.1.1.00.00- OBRIGACOES COM PESSOAL</v>
      </c>
      <c r="B82" s="9">
        <v>21202804.5</v>
      </c>
      <c r="C82" s="9">
        <v>1170505.01</v>
      </c>
      <c r="D82" s="9">
        <v>22373309.510000002</v>
      </c>
    </row>
    <row r="83" spans="1:4" x14ac:dyDescent="0.3">
      <c r="A83" s="2" t="str">
        <f>"2.1.1.01.00- SALARIOS A PAGAR"</f>
        <v>2.1.1.01.00- SALARIOS A PAGAR</v>
      </c>
      <c r="B83" s="9">
        <v>21202804.5</v>
      </c>
      <c r="C83" s="9">
        <v>1170505.01</v>
      </c>
      <c r="D83" s="9">
        <v>22373309.510000002</v>
      </c>
    </row>
    <row r="84" spans="1:4" x14ac:dyDescent="0.3">
      <c r="A84" s="2" t="str">
        <f>"2.1.1.01.01- Salarios a Pagar"</f>
        <v>2.1.1.01.01- Salarios a Pagar</v>
      </c>
      <c r="B84" s="9">
        <v>5611560.3600000003</v>
      </c>
      <c r="C84" s="9">
        <v>-373930.05</v>
      </c>
      <c r="D84" s="9">
        <v>5237630.3099999996</v>
      </c>
    </row>
    <row r="85" spans="1:4" x14ac:dyDescent="0.3">
      <c r="A85" s="2" t="str">
        <f>"2.1.1.01.02- Provisão 13º Salário"</f>
        <v>2.1.1.01.02- Provisão 13º Salário</v>
      </c>
      <c r="B85" s="9">
        <v>3599779.55</v>
      </c>
      <c r="C85" s="9">
        <v>682357.86</v>
      </c>
      <c r="D85" s="9">
        <v>4282137.41</v>
      </c>
    </row>
    <row r="86" spans="1:4" x14ac:dyDescent="0.3">
      <c r="A86" s="2" t="str">
        <f>"2.1.1.01.03- Ferias a pagar"</f>
        <v>2.1.1.01.03- Ferias a pagar</v>
      </c>
      <c r="B86" s="9">
        <v>122720.08</v>
      </c>
      <c r="C86" s="9">
        <v>622598.38</v>
      </c>
      <c r="D86" s="9">
        <v>745318.46</v>
      </c>
    </row>
    <row r="87" spans="1:4" x14ac:dyDescent="0.3">
      <c r="A87" s="2" t="str">
        <f>"2.1.1.01.05- Rescisoes a Pagar"</f>
        <v>2.1.1.01.05- Rescisoes a Pagar</v>
      </c>
      <c r="B87" s="9">
        <v>0</v>
      </c>
      <c r="C87" s="9">
        <v>3212.95</v>
      </c>
      <c r="D87" s="9">
        <v>3212.95</v>
      </c>
    </row>
    <row r="88" spans="1:4" x14ac:dyDescent="0.3">
      <c r="A88" s="2" t="str">
        <f>"2.1.1.01.09- Provisao de Ferias"</f>
        <v>2.1.1.01.09- Provisao de Ferias</v>
      </c>
      <c r="B88" s="9">
        <v>11783665.91</v>
      </c>
      <c r="C88" s="9">
        <v>235407.57</v>
      </c>
      <c r="D88" s="9">
        <v>12019073.48</v>
      </c>
    </row>
    <row r="89" spans="1:4" x14ac:dyDescent="0.3">
      <c r="A89" s="2" t="str">
        <f>"2.1.1.01.12- Pensão Judicial"</f>
        <v>2.1.1.01.12- Pensão Judicial</v>
      </c>
      <c r="B89" s="9">
        <v>85078.6</v>
      </c>
      <c r="C89" s="9">
        <v>858.3</v>
      </c>
      <c r="D89" s="9">
        <v>85936.9</v>
      </c>
    </row>
    <row r="90" spans="1:4" x14ac:dyDescent="0.3">
      <c r="A90" s="2" t="str">
        <f>"2.1.2.00.00- OBRIGACOES SOCIAIS A CURTO PRAZO"</f>
        <v>2.1.2.00.00- OBRIGACOES SOCIAIS A CURTO PRAZO</v>
      </c>
      <c r="B90" s="9">
        <v>10002023.01</v>
      </c>
      <c r="C90" s="9">
        <v>249186.97</v>
      </c>
      <c r="D90" s="9">
        <v>10251209.98</v>
      </c>
    </row>
    <row r="91" spans="1:4" x14ac:dyDescent="0.3">
      <c r="A91" s="2" t="str">
        <f>"2.1.2.01.00- OBRIGACOES SOCIAIS A RECOLHER"</f>
        <v>2.1.2.01.00- OBRIGACOES SOCIAIS A RECOLHER</v>
      </c>
      <c r="B91" s="9">
        <v>10002023.01</v>
      </c>
      <c r="C91" s="9">
        <v>249186.97</v>
      </c>
      <c r="D91" s="9">
        <v>10251209.98</v>
      </c>
    </row>
    <row r="92" spans="1:4" x14ac:dyDescent="0.3">
      <c r="A92" s="2" t="str">
        <f>"2.1.2.01.01- INSS a recolher s/Folha Pagto"</f>
        <v>2.1.2.01.01- INSS a recolher s/Folha Pagto</v>
      </c>
      <c r="B92" s="9">
        <v>3242594.66</v>
      </c>
      <c r="C92" s="9">
        <v>-119369.99</v>
      </c>
      <c r="D92" s="9">
        <v>3123224.67</v>
      </c>
    </row>
    <row r="93" spans="1:4" x14ac:dyDescent="0.3">
      <c r="A93" s="2" t="str">
        <f>"2.1.2.01.02- FGTS a recolher s/Folha Pagto"</f>
        <v>2.1.2.01.02- FGTS a recolher s/Folha Pagto</v>
      </c>
      <c r="B93" s="9">
        <v>727106.51</v>
      </c>
      <c r="C93" s="9">
        <v>-37737.61</v>
      </c>
      <c r="D93" s="9">
        <v>689368.9</v>
      </c>
    </row>
    <row r="94" spans="1:4" x14ac:dyDescent="0.3">
      <c r="A94" s="2" t="str">
        <f>"2.1.2.01.05- Contribuicao Sindical"</f>
        <v>2.1.2.01.05- Contribuicao Sindical</v>
      </c>
      <c r="B94" s="9">
        <v>9675.52</v>
      </c>
      <c r="C94" s="9">
        <v>99904.35</v>
      </c>
      <c r="D94" s="9">
        <v>109579.87</v>
      </c>
    </row>
    <row r="95" spans="1:4" x14ac:dyDescent="0.3">
      <c r="A95" s="2" t="str">
        <f>"2.1.2.01.06- INSS s/Provisao de Ferias"</f>
        <v>2.1.2.01.06- INSS s/Provisao de Ferias</v>
      </c>
      <c r="B95" s="9">
        <v>3424949.16</v>
      </c>
      <c r="C95" s="9">
        <v>70367.429999999993</v>
      </c>
      <c r="D95" s="9">
        <v>3495316.59</v>
      </c>
    </row>
    <row r="96" spans="1:4" x14ac:dyDescent="0.3">
      <c r="A96" s="2" t="str">
        <f>"2.1.2.01.09- INSS a Recolher s/Autonomos"</f>
        <v>2.1.2.01.09- INSS a Recolher s/Autonomos</v>
      </c>
      <c r="B96" s="9">
        <v>6684.58</v>
      </c>
      <c r="C96" s="9">
        <v>-1655.83</v>
      </c>
      <c r="D96" s="9">
        <v>5028.75</v>
      </c>
    </row>
    <row r="97" spans="1:4" x14ac:dyDescent="0.3">
      <c r="A97" s="2" t="str">
        <f>"2.1.2.01.10- INSS s/Provisao de 13.Salario"</f>
        <v>2.1.2.01.10- INSS s/Provisao de 13.Salario</v>
      </c>
      <c r="B97" s="9">
        <v>1053746.03</v>
      </c>
      <c r="C97" s="9">
        <v>199524.49</v>
      </c>
      <c r="D97" s="9">
        <v>1253270.52</v>
      </c>
    </row>
    <row r="98" spans="1:4" x14ac:dyDescent="0.3">
      <c r="A98" s="2" t="str">
        <f>"2.1.2.01.11- FGTS s/Provisao de 13.Salario"</f>
        <v>2.1.2.01.11- FGTS s/Provisao de 13.Salario</v>
      </c>
      <c r="B98" s="9">
        <v>161109.24</v>
      </c>
      <c r="C98" s="9">
        <v>33682.04</v>
      </c>
      <c r="D98" s="9">
        <v>194791.28</v>
      </c>
    </row>
    <row r="99" spans="1:4" x14ac:dyDescent="0.3">
      <c r="A99" s="2" t="str">
        <f>"2.1.2.01.12- FGTS s/Provisao de Ferias"</f>
        <v>2.1.2.01.12- FGTS s/Provisao de Ferias</v>
      </c>
      <c r="B99" s="9">
        <v>936415.87</v>
      </c>
      <c r="C99" s="9">
        <v>19267.98</v>
      </c>
      <c r="D99" s="9">
        <v>955683.85</v>
      </c>
    </row>
    <row r="100" spans="1:4" x14ac:dyDescent="0.3">
      <c r="A100" s="2" t="str">
        <f>"2.1.2.01.15- Crediserv-BH"</f>
        <v>2.1.2.01.15- Crediserv-BH</v>
      </c>
      <c r="B100" s="9">
        <v>24868.16</v>
      </c>
      <c r="C100" s="9">
        <v>-50</v>
      </c>
      <c r="D100" s="9">
        <v>24818.16</v>
      </c>
    </row>
    <row r="101" spans="1:4" x14ac:dyDescent="0.3">
      <c r="A101" s="2" t="str">
        <f>"2.1.2.01.16- INSS Fonte a Recolher - PJ"</f>
        <v>2.1.2.01.16- INSS Fonte a Recolher - PJ</v>
      </c>
      <c r="B101" s="9">
        <v>412286.52</v>
      </c>
      <c r="C101" s="9">
        <v>-14145.27</v>
      </c>
      <c r="D101" s="9">
        <v>398141.25</v>
      </c>
    </row>
    <row r="102" spans="1:4" x14ac:dyDescent="0.3">
      <c r="A102" s="2" t="str">
        <f>"2.1.2.01.18- INSS Fonte a Recolher - P F"</f>
        <v>2.1.2.01.18- INSS Fonte a Recolher - P F</v>
      </c>
      <c r="B102" s="9">
        <v>2586.7600000000002</v>
      </c>
      <c r="C102" s="9">
        <v>-600.62</v>
      </c>
      <c r="D102" s="9">
        <v>1986.14</v>
      </c>
    </row>
    <row r="103" spans="1:4" x14ac:dyDescent="0.3">
      <c r="A103" s="2" t="str">
        <f>"2.1.3.00.00- OBRIGACOES FISCAIS A CURTO PRAZO"</f>
        <v>2.1.3.00.00- OBRIGACOES FISCAIS A CURTO PRAZO</v>
      </c>
      <c r="B103" s="9">
        <v>1767643.29</v>
      </c>
      <c r="C103" s="9">
        <v>224380.96</v>
      </c>
      <c r="D103" s="9">
        <v>1992024.25</v>
      </c>
    </row>
    <row r="104" spans="1:4" x14ac:dyDescent="0.3">
      <c r="A104" s="2" t="str">
        <f>"2.1.3.01.00- IMPOSTOS E TAXAS A RECOLHER"</f>
        <v>2.1.3.01.00- IMPOSTOS E TAXAS A RECOLHER</v>
      </c>
      <c r="B104" s="9">
        <v>1767643.29</v>
      </c>
      <c r="C104" s="9">
        <v>224380.96</v>
      </c>
      <c r="D104" s="9">
        <v>1992024.25</v>
      </c>
    </row>
    <row r="105" spans="1:4" x14ac:dyDescent="0.3">
      <c r="A105" s="2" t="str">
        <f>"2.1.3.01.01- IRRF Fonte Folha Pagto"</f>
        <v>2.1.3.01.01- IRRF Fonte Folha Pagto</v>
      </c>
      <c r="B105" s="9">
        <v>1200299.6299999999</v>
      </c>
      <c r="C105" s="9">
        <v>208655.6</v>
      </c>
      <c r="D105" s="9">
        <v>1408955.23</v>
      </c>
    </row>
    <row r="106" spans="1:4" x14ac:dyDescent="0.3">
      <c r="A106" s="2" t="str">
        <f>"2.1.3.01.03- IRRF Fonte - Pessoa  Juridica e Física"</f>
        <v>2.1.3.01.03- IRRF Fonte - Pessoa  Juridica e Física</v>
      </c>
      <c r="B106" s="9">
        <v>47683.09</v>
      </c>
      <c r="C106" s="9">
        <v>1651.15</v>
      </c>
      <c r="D106" s="9">
        <v>49334.239999999998</v>
      </c>
    </row>
    <row r="107" spans="1:4" x14ac:dyDescent="0.3">
      <c r="A107" s="2" t="str">
        <f>"2.1.3.01.04- ISS Retido Fonte PF"</f>
        <v>2.1.3.01.04- ISS Retido Fonte PF</v>
      </c>
      <c r="B107" s="9">
        <v>0</v>
      </c>
      <c r="C107" s="9">
        <v>678</v>
      </c>
      <c r="D107" s="9">
        <v>678</v>
      </c>
    </row>
    <row r="108" spans="1:4" x14ac:dyDescent="0.3">
      <c r="A108" s="2" t="str">
        <f>"2.1.3.01.09- ISS Fonte a Recolher P.Juridica"</f>
        <v>2.1.3.01.09- ISS Fonte a Recolher P.Juridica</v>
      </c>
      <c r="B108" s="9">
        <v>126672.23</v>
      </c>
      <c r="C108" s="9">
        <v>38443.64</v>
      </c>
      <c r="D108" s="9">
        <v>165115.87</v>
      </c>
    </row>
    <row r="109" spans="1:4" x14ac:dyDescent="0.3">
      <c r="A109" s="2" t="str">
        <f>"2.1.3.01.12- CSLL-COFINS-PIS - FONTE"</f>
        <v>2.1.3.01.12- CSLL-COFINS-PIS - FONTE</v>
      </c>
      <c r="B109" s="9">
        <v>392988.34</v>
      </c>
      <c r="C109" s="9">
        <v>-25047.43</v>
      </c>
      <c r="D109" s="9">
        <v>367940.91</v>
      </c>
    </row>
    <row r="110" spans="1:4" x14ac:dyDescent="0.3">
      <c r="A110" s="2" t="str">
        <f>"2.1.4.00.00- OUTRAS OBRIGACOES A CURTO PRAZO"</f>
        <v>2.1.4.00.00- OUTRAS OBRIGACOES A CURTO PRAZO</v>
      </c>
      <c r="B110" s="9">
        <v>6431626.3200000003</v>
      </c>
      <c r="C110" s="9">
        <v>-361968.4</v>
      </c>
      <c r="D110" s="9">
        <v>6069657.9199999999</v>
      </c>
    </row>
    <row r="111" spans="1:4" x14ac:dyDescent="0.3">
      <c r="A111" s="2" t="str">
        <f>"2.1.4.01.00- FORNECEDORES"</f>
        <v>2.1.4.01.00- FORNECEDORES</v>
      </c>
      <c r="B111" s="9">
        <v>5053331.25</v>
      </c>
      <c r="C111" s="9">
        <v>-352349.96</v>
      </c>
      <c r="D111" s="9">
        <v>4700981.29</v>
      </c>
    </row>
    <row r="112" spans="1:4" x14ac:dyDescent="0.3">
      <c r="A112" s="2" t="str">
        <f>"2.1.4.01.99- Fornecedores"</f>
        <v>2.1.4.01.99- Fornecedores</v>
      </c>
      <c r="B112" s="9">
        <v>5053331.25</v>
      </c>
      <c r="C112" s="9">
        <v>-352349.96</v>
      </c>
      <c r="D112" s="9">
        <v>4700981.29</v>
      </c>
    </row>
    <row r="113" spans="1:4" x14ac:dyDescent="0.3">
      <c r="A113" s="2" t="str">
        <f>"2.1.4.02.00- CONTAS A PAGAR"</f>
        <v>2.1.4.02.00- CONTAS A PAGAR</v>
      </c>
      <c r="B113" s="9">
        <v>426940.94</v>
      </c>
      <c r="C113" s="9">
        <v>-9618.44</v>
      </c>
      <c r="D113" s="9">
        <v>417322.5</v>
      </c>
    </row>
    <row r="114" spans="1:4" x14ac:dyDescent="0.3">
      <c r="A114" s="2" t="str">
        <f>"2.1.4.02.01- Emprestimo Consignado - Bradesco"</f>
        <v>2.1.4.02.01- Emprestimo Consignado - Bradesco</v>
      </c>
      <c r="B114" s="9">
        <v>238913.62</v>
      </c>
      <c r="C114" s="9">
        <v>5510.89</v>
      </c>
      <c r="D114" s="9">
        <v>244424.51</v>
      </c>
    </row>
    <row r="115" spans="1:4" x14ac:dyDescent="0.3">
      <c r="A115" s="2" t="str">
        <f>"2.1.4.02.03- Emprestimo Consignado - CEF"</f>
        <v>2.1.4.02.03- Emprestimo Consignado - CEF</v>
      </c>
      <c r="B115" s="9">
        <v>55687.32</v>
      </c>
      <c r="C115" s="9">
        <v>1249.92</v>
      </c>
      <c r="D115" s="9">
        <v>56937.24</v>
      </c>
    </row>
    <row r="116" spans="1:4" x14ac:dyDescent="0.3">
      <c r="A116" s="2" t="str">
        <f>"2.1.4.02.04- Emprestimo Consignado - B.Brasil"</f>
        <v>2.1.4.02.04- Emprestimo Consignado - B.Brasil</v>
      </c>
      <c r="B116" s="9">
        <v>83996</v>
      </c>
      <c r="C116" s="9">
        <v>-9441.85</v>
      </c>
      <c r="D116" s="9">
        <v>74554.149999999994</v>
      </c>
    </row>
    <row r="117" spans="1:4" x14ac:dyDescent="0.3">
      <c r="A117" s="2" t="str">
        <f>"2.1.4.02.05- Emprestimo Consignado-Banco Alfa"</f>
        <v>2.1.4.02.05- Emprestimo Consignado-Banco Alfa</v>
      </c>
      <c r="B117" s="9">
        <v>8085.87</v>
      </c>
      <c r="C117" s="9">
        <v>-45.47</v>
      </c>
      <c r="D117" s="9">
        <v>8040.4</v>
      </c>
    </row>
    <row r="118" spans="1:4" x14ac:dyDescent="0.3">
      <c r="A118" s="2" t="str">
        <f>"2.1.4.02.07- Emprestimo Consignado - B. Safra"</f>
        <v>2.1.4.02.07- Emprestimo Consignado - B. Safra</v>
      </c>
      <c r="B118" s="9">
        <v>571.11</v>
      </c>
      <c r="C118" s="9">
        <v>0</v>
      </c>
      <c r="D118" s="9">
        <v>571.11</v>
      </c>
    </row>
    <row r="119" spans="1:4" x14ac:dyDescent="0.3">
      <c r="A119" s="2" t="str">
        <f>"2.1.4.02.14- Emprestimo Consignado Trabalhador"</f>
        <v>2.1.4.02.14- Emprestimo Consignado Trabalhador</v>
      </c>
      <c r="B119" s="9">
        <v>448.34</v>
      </c>
      <c r="C119" s="9">
        <v>786.46</v>
      </c>
      <c r="D119" s="9">
        <v>1234.8</v>
      </c>
    </row>
    <row r="120" spans="1:4" x14ac:dyDescent="0.3">
      <c r="A120" s="2" t="str">
        <f>"2.1.4.02.99- Contas a Pagar"</f>
        <v>2.1.4.02.99- Contas a Pagar</v>
      </c>
      <c r="B120" s="9">
        <v>39238.68</v>
      </c>
      <c r="C120" s="9">
        <v>-7678.39</v>
      </c>
      <c r="D120" s="9">
        <v>31560.29</v>
      </c>
    </row>
    <row r="121" spans="1:4" x14ac:dyDescent="0.3">
      <c r="A121" s="2" t="str">
        <f>"2.1.4.04.00- CAUCAO DE TERCEIROS/LEILAO"</f>
        <v>2.1.4.04.00- CAUCAO DE TERCEIROS/LEILAO</v>
      </c>
      <c r="B121" s="9">
        <v>951354.13</v>
      </c>
      <c r="C121" s="9">
        <v>0</v>
      </c>
      <c r="D121" s="9">
        <v>951354.13</v>
      </c>
    </row>
    <row r="122" spans="1:4" x14ac:dyDescent="0.3">
      <c r="A122" s="2" t="str">
        <f>"2.1.4.04.98- Leilões"</f>
        <v>2.1.4.04.98- Leilões</v>
      </c>
      <c r="B122" s="9">
        <v>857604.91</v>
      </c>
      <c r="C122" s="9">
        <v>0</v>
      </c>
      <c r="D122" s="9">
        <v>857604.91</v>
      </c>
    </row>
    <row r="123" spans="1:4" x14ac:dyDescent="0.3">
      <c r="A123" s="2" t="str">
        <f>"2.1.4.04.99- Caucao de Terceiros"</f>
        <v>2.1.4.04.99- Caucao de Terceiros</v>
      </c>
      <c r="B123" s="9">
        <v>93749.22</v>
      </c>
      <c r="C123" s="9">
        <v>0</v>
      </c>
      <c r="D123" s="9">
        <v>93749.22</v>
      </c>
    </row>
    <row r="124" spans="1:4" x14ac:dyDescent="0.3">
      <c r="A124" s="2" t="str">
        <f>"2.2.0.00.00- PASSIVO NAO CIRCULANTE"</f>
        <v>2.2.0.00.00- PASSIVO NAO CIRCULANTE</v>
      </c>
      <c r="B124" s="9">
        <v>160188150.86000001</v>
      </c>
      <c r="C124" s="9">
        <v>67028.7</v>
      </c>
      <c r="D124" s="9">
        <v>160255179.56</v>
      </c>
    </row>
    <row r="125" spans="1:4" x14ac:dyDescent="0.3">
      <c r="A125" s="2" t="str">
        <f>"2.2.4.00.00- OUTRAS OBRIGACOES A LONGO PRAZO"</f>
        <v>2.2.4.00.00- OUTRAS OBRIGACOES A LONGO PRAZO</v>
      </c>
      <c r="B125" s="9">
        <v>160188150.86000001</v>
      </c>
      <c r="C125" s="9">
        <v>67028.7</v>
      </c>
      <c r="D125" s="9">
        <v>160255179.56</v>
      </c>
    </row>
    <row r="126" spans="1:4" x14ac:dyDescent="0.3">
      <c r="A126" s="2" t="str">
        <f>"2.2.4.01.00- CREDORES DIVERSOS"</f>
        <v>2.2.4.01.00- CREDORES DIVERSOS</v>
      </c>
      <c r="B126" s="9">
        <v>19720501.370000001</v>
      </c>
      <c r="C126" s="9">
        <v>0</v>
      </c>
      <c r="D126" s="9">
        <v>19720501.370000001</v>
      </c>
    </row>
    <row r="127" spans="1:4" x14ac:dyDescent="0.3">
      <c r="A127" s="2" t="str">
        <f>"2.2.4.01.02- Outros Credores Diversos"</f>
        <v>2.2.4.01.02- Outros Credores Diversos</v>
      </c>
      <c r="B127" s="9">
        <v>6484189.6299999999</v>
      </c>
      <c r="C127" s="9">
        <v>0</v>
      </c>
      <c r="D127" s="9">
        <v>6484189.6299999999</v>
      </c>
    </row>
    <row r="128" spans="1:4" x14ac:dyDescent="0.3">
      <c r="A128" s="2" t="str">
        <f>"2.2.4.01.04- Provisão para Contingências Fiscais"</f>
        <v>2.2.4.01.04- Provisão para Contingências Fiscais</v>
      </c>
      <c r="B128" s="9">
        <v>12294456.800000001</v>
      </c>
      <c r="C128" s="9">
        <v>0</v>
      </c>
      <c r="D128" s="9">
        <v>12294456.800000001</v>
      </c>
    </row>
    <row r="129" spans="1:4" x14ac:dyDescent="0.3">
      <c r="A129" s="2" t="str">
        <f>"2.2.4.01.05- INSS Segurados"</f>
        <v>2.2.4.01.05- INSS Segurados</v>
      </c>
      <c r="B129" s="9">
        <v>941854.94</v>
      </c>
      <c r="C129" s="9">
        <v>0</v>
      </c>
      <c r="D129" s="9">
        <v>941854.94</v>
      </c>
    </row>
    <row r="130" spans="1:4" x14ac:dyDescent="0.3">
      <c r="A130" s="2" t="str">
        <f>"2.2.4.04.00- ACOES JUDICIAIS E TRABALHISTAS"</f>
        <v>2.2.4.04.00- ACOES JUDICIAIS E TRABALHISTAS</v>
      </c>
      <c r="B130" s="9">
        <v>140467649.49000001</v>
      </c>
      <c r="C130" s="9">
        <v>67028.7</v>
      </c>
      <c r="D130" s="9">
        <v>140534678.19</v>
      </c>
    </row>
    <row r="131" spans="1:4" x14ac:dyDescent="0.3">
      <c r="A131" s="2" t="str">
        <f>"2.2.4.04.01- Acoes judiciais"</f>
        <v>2.2.4.04.01- Acoes judiciais</v>
      </c>
      <c r="B131" s="9">
        <v>59595973.630000003</v>
      </c>
      <c r="C131" s="9">
        <v>0</v>
      </c>
      <c r="D131" s="9">
        <v>59595973.630000003</v>
      </c>
    </row>
    <row r="132" spans="1:4" x14ac:dyDescent="0.3">
      <c r="A132" s="2" t="str">
        <f>"2.2.4.04.02- Acoes trabalhistas"</f>
        <v>2.2.4.04.02- Acoes trabalhistas</v>
      </c>
      <c r="B132" s="9">
        <v>80871675.859999999</v>
      </c>
      <c r="C132" s="9">
        <v>67028.7</v>
      </c>
      <c r="D132" s="9">
        <v>80938704.560000002</v>
      </c>
    </row>
    <row r="133" spans="1:4" x14ac:dyDescent="0.3">
      <c r="A133" s="2" t="str">
        <f>"2.4.0.00.00- PATRIMONIO LIQUIDO"</f>
        <v>2.4.0.00.00- PATRIMONIO LIQUIDO</v>
      </c>
      <c r="B133" s="9">
        <v>-134990714.58000001</v>
      </c>
      <c r="C133" s="9">
        <v>1148296.94</v>
      </c>
      <c r="D133" s="9">
        <v>-133842417.64</v>
      </c>
    </row>
    <row r="134" spans="1:4" x14ac:dyDescent="0.3">
      <c r="A134" s="2" t="str">
        <f>"2.4.1.00.00- CAPITAL SOCIAL"</f>
        <v>2.4.1.00.00- CAPITAL SOCIAL</v>
      </c>
      <c r="B134" s="9">
        <v>67418193.159999996</v>
      </c>
      <c r="C134" s="9">
        <v>0</v>
      </c>
      <c r="D134" s="9">
        <v>67418193.159999996</v>
      </c>
    </row>
    <row r="135" spans="1:4" x14ac:dyDescent="0.3">
      <c r="A135" s="2" t="str">
        <f>"2.4.1.02.00- CAPITAL REALIZADO"</f>
        <v>2.4.1.02.00- CAPITAL REALIZADO</v>
      </c>
      <c r="B135" s="9">
        <v>67418193.159999996</v>
      </c>
      <c r="C135" s="9">
        <v>0</v>
      </c>
      <c r="D135" s="9">
        <v>67418193.159999996</v>
      </c>
    </row>
    <row r="136" spans="1:4" x14ac:dyDescent="0.3">
      <c r="A136" s="2" t="str">
        <f>"2.4.1.02.01- Capital Subscrito"</f>
        <v>2.4.1.02.01- Capital Subscrito</v>
      </c>
      <c r="B136" s="9">
        <v>75000000</v>
      </c>
      <c r="C136" s="9">
        <v>0</v>
      </c>
      <c r="D136" s="9">
        <v>75000000</v>
      </c>
    </row>
    <row r="137" spans="1:4" x14ac:dyDescent="0.3">
      <c r="A137" s="2" t="str">
        <f>"2.4.1.02.04- Capital a Realizar"</f>
        <v>2.4.1.02.04- Capital a Realizar</v>
      </c>
      <c r="B137" s="9">
        <v>-7581806.8399999999</v>
      </c>
      <c r="C137" s="9">
        <v>0</v>
      </c>
      <c r="D137" s="9">
        <v>-7581806.8399999999</v>
      </c>
    </row>
    <row r="138" spans="1:4" x14ac:dyDescent="0.3">
      <c r="A138" s="2" t="str">
        <f>"2.4.3.00.00- RESULTADOS ACUMULADOS"</f>
        <v>2.4.3.00.00- RESULTADOS ACUMULADOS</v>
      </c>
      <c r="B138" s="9">
        <v>-202408907.74000001</v>
      </c>
      <c r="C138" s="9">
        <v>1148296.94</v>
      </c>
      <c r="D138" s="9">
        <v>-201260610.80000001</v>
      </c>
    </row>
    <row r="139" spans="1:4" x14ac:dyDescent="0.3">
      <c r="A139" s="2" t="str">
        <f>"2.4.3.01.00- LUCROS/PREJUIZOS ACUMULADOS"</f>
        <v>2.4.3.01.00- LUCROS/PREJUIZOS ACUMULADOS</v>
      </c>
      <c r="B139" s="9">
        <v>-202408907.74000001</v>
      </c>
      <c r="C139" s="9">
        <v>1148296.94</v>
      </c>
      <c r="D139" s="9">
        <v>-201260610.80000001</v>
      </c>
    </row>
    <row r="140" spans="1:4" x14ac:dyDescent="0.3">
      <c r="A140" s="2" t="str">
        <f>"2.4.3.01.01- Resultados de Exerc. Anteriores"</f>
        <v>2.4.3.01.01- Resultados de Exerc. Anteriores</v>
      </c>
      <c r="B140" s="9">
        <v>-198789507.34</v>
      </c>
      <c r="C140" s="9">
        <v>0</v>
      </c>
      <c r="D140" s="9">
        <v>-198789507.34</v>
      </c>
    </row>
    <row r="141" spans="1:4" x14ac:dyDescent="0.3">
      <c r="A141" s="2" t="str">
        <f>"2.4.3.01.02- Resultado deste Exercicio"</f>
        <v>2.4.3.01.02- Resultado deste Exercicio</v>
      </c>
      <c r="B141" s="9">
        <v>-3619400.4</v>
      </c>
      <c r="C141" s="9">
        <v>1148296.94</v>
      </c>
      <c r="D141" s="9">
        <v>-2471103.46</v>
      </c>
    </row>
    <row r="142" spans="1:4" x14ac:dyDescent="0.3">
      <c r="A142" s="2" t="str">
        <f>""</f>
        <v/>
      </c>
      <c r="B142" s="3" t="str">
        <f>""</f>
        <v/>
      </c>
      <c r="C142" s="3" t="str">
        <f>""</f>
        <v/>
      </c>
      <c r="D142" s="3" t="str">
        <f>""</f>
        <v/>
      </c>
    </row>
    <row r="143" spans="1:4" x14ac:dyDescent="0.3">
      <c r="A143" s="2" t="str">
        <f>"DESPESAS"</f>
        <v>DESPESAS</v>
      </c>
      <c r="B143" s="3" t="str">
        <f>""</f>
        <v/>
      </c>
      <c r="C143" s="3" t="str">
        <f>""</f>
        <v/>
      </c>
      <c r="D143" s="3" t="str">
        <f>""</f>
        <v/>
      </c>
    </row>
    <row r="144" spans="1:4" x14ac:dyDescent="0.3">
      <c r="A144" s="2" t="str">
        <f>"3.0.0.00.00- DESPESAS"</f>
        <v>3.0.0.00.00- DESPESAS</v>
      </c>
      <c r="B144" s="9">
        <v>103283360.8</v>
      </c>
      <c r="C144" s="9">
        <v>20197231.170000002</v>
      </c>
      <c r="D144" s="9">
        <v>123480591.97</v>
      </c>
    </row>
    <row r="145" spans="1:4" x14ac:dyDescent="0.3">
      <c r="A145" s="2" t="str">
        <f>"3.1.0.00.00- DESPESAS OPERACIONAIS"</f>
        <v>3.1.0.00.00- DESPESAS OPERACIONAIS</v>
      </c>
      <c r="B145" s="9">
        <v>103283360.8</v>
      </c>
      <c r="C145" s="9">
        <v>20197231.170000002</v>
      </c>
      <c r="D145" s="9">
        <v>123480591.97</v>
      </c>
    </row>
    <row r="146" spans="1:4" x14ac:dyDescent="0.3">
      <c r="A146" s="2" t="str">
        <f>"3.1.1.00.00- SALARIOS ADICIONAIS E HONORARIOS"</f>
        <v>3.1.1.00.00- SALARIOS ADICIONAIS E HONORARIOS</v>
      </c>
      <c r="B146" s="9">
        <v>52955998.520000003</v>
      </c>
      <c r="C146" s="9">
        <v>10094598.619999999</v>
      </c>
      <c r="D146" s="9">
        <v>63050597.140000001</v>
      </c>
    </row>
    <row r="147" spans="1:4" x14ac:dyDescent="0.3">
      <c r="A147" s="2" t="str">
        <f>"3.1.1.00.01- Honorarios diretoria"</f>
        <v>3.1.1.00.01- Honorarios diretoria</v>
      </c>
      <c r="B147" s="9">
        <v>368078.55</v>
      </c>
      <c r="C147" s="9">
        <v>80281.399999999994</v>
      </c>
      <c r="D147" s="9">
        <v>448359.95</v>
      </c>
    </row>
    <row r="148" spans="1:4" x14ac:dyDescent="0.3">
      <c r="A148" s="2" t="str">
        <f>"3.1.1.00.02- Honorarios conselho fiscal"</f>
        <v>3.1.1.00.02- Honorarios conselho fiscal</v>
      </c>
      <c r="B148" s="9">
        <v>35756.25</v>
      </c>
      <c r="C148" s="9">
        <v>7151.25</v>
      </c>
      <c r="D148" s="9">
        <v>42907.5</v>
      </c>
    </row>
    <row r="149" spans="1:4" x14ac:dyDescent="0.3">
      <c r="A149" s="2" t="str">
        <f>"3.1.1.00.03- Honorarios cons. administracao"</f>
        <v>3.1.1.00.03- Honorarios cons. administracao</v>
      </c>
      <c r="B149" s="9">
        <v>132181.26</v>
      </c>
      <c r="C149" s="9">
        <v>23884.23</v>
      </c>
      <c r="D149" s="9">
        <v>156065.49</v>
      </c>
    </row>
    <row r="150" spans="1:4" x14ac:dyDescent="0.3">
      <c r="A150" s="2" t="str">
        <f>"3.1.1.00.04- Salarios e adicionais"</f>
        <v>3.1.1.00.04- Salarios e adicionais</v>
      </c>
      <c r="B150" s="9">
        <v>39134308.649999999</v>
      </c>
      <c r="C150" s="9">
        <v>7862146.3899999997</v>
      </c>
      <c r="D150" s="9">
        <v>46996455.039999999</v>
      </c>
    </row>
    <row r="151" spans="1:4" x14ac:dyDescent="0.3">
      <c r="A151" s="2" t="str">
        <f>"3.1.1.00.05- Ferias e abono pecuniario"</f>
        <v>3.1.1.00.05- Ferias e abono pecuniario</v>
      </c>
      <c r="B151" s="9">
        <v>5398469.5700000003</v>
      </c>
      <c r="C151" s="9">
        <v>794440.22</v>
      </c>
      <c r="D151" s="9">
        <v>6192909.79</v>
      </c>
    </row>
    <row r="152" spans="1:4" x14ac:dyDescent="0.3">
      <c r="A152" s="2" t="str">
        <f>"3.1.1.00.06- Decimo terceiro salario"</f>
        <v>3.1.1.00.06- Decimo terceiro salario</v>
      </c>
      <c r="B152" s="9">
        <v>3624735.94</v>
      </c>
      <c r="C152" s="9">
        <v>685714.61</v>
      </c>
      <c r="D152" s="9">
        <v>4310450.55</v>
      </c>
    </row>
    <row r="153" spans="1:4" x14ac:dyDescent="0.3">
      <c r="A153" s="2" t="str">
        <f>"3.1.1.00.07- Indenizacoes trabalhistas"</f>
        <v>3.1.1.00.07- Indenizacoes trabalhistas</v>
      </c>
      <c r="B153" s="9">
        <v>4134524.92</v>
      </c>
      <c r="C153" s="9">
        <v>620743.19999999995</v>
      </c>
      <c r="D153" s="9">
        <v>4755268.12</v>
      </c>
    </row>
    <row r="154" spans="1:4" x14ac:dyDescent="0.3">
      <c r="A154" s="2" t="str">
        <f>"3.1.1.00.08- Bolsas de estagiario"</f>
        <v>3.1.1.00.08- Bolsas de estagiario</v>
      </c>
      <c r="B154" s="9">
        <v>127943.38</v>
      </c>
      <c r="C154" s="9">
        <v>20237.32</v>
      </c>
      <c r="D154" s="9">
        <v>148180.70000000001</v>
      </c>
    </row>
    <row r="155" spans="1:4" x14ac:dyDescent="0.3">
      <c r="A155" s="2" t="str">
        <f>"3.1.2.01.00- ENCARGOS SOCIAIS"</f>
        <v>3.1.2.01.00- ENCARGOS SOCIAIS</v>
      </c>
      <c r="B155" s="9">
        <v>17718756.600000001</v>
      </c>
      <c r="C155" s="9">
        <v>3462823.95</v>
      </c>
      <c r="D155" s="9">
        <v>21181580.550000001</v>
      </c>
    </row>
    <row r="156" spans="1:4" x14ac:dyDescent="0.3">
      <c r="A156" s="2" t="str">
        <f>"3.1.2.01.01- INSS"</f>
        <v>3.1.2.01.01- INSS</v>
      </c>
      <c r="B156" s="9">
        <v>13875344.77</v>
      </c>
      <c r="C156" s="9">
        <v>2720505.03</v>
      </c>
      <c r="D156" s="9">
        <v>16595849.800000001</v>
      </c>
    </row>
    <row r="157" spans="1:4" x14ac:dyDescent="0.3">
      <c r="A157" s="2" t="str">
        <f>"3.1.2.01.02- FGTS"</f>
        <v>3.1.2.01.02- FGTS</v>
      </c>
      <c r="B157" s="9">
        <v>3843411.83</v>
      </c>
      <c r="C157" s="9">
        <v>742318.92</v>
      </c>
      <c r="D157" s="9">
        <v>4585730.75</v>
      </c>
    </row>
    <row r="158" spans="1:4" x14ac:dyDescent="0.3">
      <c r="A158" s="2" t="str">
        <f>"3.1.2.02.00- OUTRAS DESPESAS COM PESSOAL"</f>
        <v>3.1.2.02.00- OUTRAS DESPESAS COM PESSOAL</v>
      </c>
      <c r="B158" s="9">
        <v>8267247.2400000002</v>
      </c>
      <c r="C158" s="9">
        <v>1813994.1</v>
      </c>
      <c r="D158" s="9">
        <v>10081241.34</v>
      </c>
    </row>
    <row r="159" spans="1:4" x14ac:dyDescent="0.3">
      <c r="A159" s="2" t="str">
        <f>"3.1.2.02.01- Seguros de Vida"</f>
        <v>3.1.2.02.01- Seguros de Vida</v>
      </c>
      <c r="B159" s="9">
        <v>40307.58</v>
      </c>
      <c r="C159" s="9">
        <v>8028.94</v>
      </c>
      <c r="D159" s="9">
        <v>48336.52</v>
      </c>
    </row>
    <row r="160" spans="1:4" x14ac:dyDescent="0.3">
      <c r="A160" s="2" t="str">
        <f>"3.1.2.02.02- Ass. Medica Odontologica"</f>
        <v>3.1.2.02.02- Ass. Medica Odontologica</v>
      </c>
      <c r="B160" s="9">
        <v>3449802.58</v>
      </c>
      <c r="C160" s="9">
        <v>697010.24</v>
      </c>
      <c r="D160" s="9">
        <v>4146812.82</v>
      </c>
    </row>
    <row r="161" spans="1:4" x14ac:dyDescent="0.3">
      <c r="A161" s="2" t="str">
        <f>"3.1.2.02.03- Vale Transporte"</f>
        <v>3.1.2.02.03- Vale Transporte</v>
      </c>
      <c r="B161" s="9">
        <v>259503.34</v>
      </c>
      <c r="C161" s="9">
        <v>70627.55</v>
      </c>
      <c r="D161" s="9">
        <v>330130.89</v>
      </c>
    </row>
    <row r="162" spans="1:4" x14ac:dyDescent="0.3">
      <c r="A162" s="2" t="str">
        <f>"3.1.2.02.04- Vale Refeicao/Alimentacao"</f>
        <v>3.1.2.02.04- Vale Refeicao/Alimentacao</v>
      </c>
      <c r="B162" s="9">
        <v>4412644.1500000004</v>
      </c>
      <c r="C162" s="9">
        <v>1010996.84</v>
      </c>
      <c r="D162" s="9">
        <v>5423640.9900000002</v>
      </c>
    </row>
    <row r="163" spans="1:4" x14ac:dyDescent="0.3">
      <c r="A163" s="2" t="str">
        <f>"3.1.2.02.05- Compl. Auxilio Doenca"</f>
        <v>3.1.2.02.05- Compl. Auxilio Doenca</v>
      </c>
      <c r="B163" s="9">
        <v>13325.7</v>
      </c>
      <c r="C163" s="9">
        <v>11897.75</v>
      </c>
      <c r="D163" s="9">
        <v>25223.45</v>
      </c>
    </row>
    <row r="164" spans="1:4" x14ac:dyDescent="0.3">
      <c r="A164" s="2" t="str">
        <f>"3.1.2.02.06- Cursos e Treinamentos"</f>
        <v>3.1.2.02.06- Cursos e Treinamentos</v>
      </c>
      <c r="B164" s="9">
        <v>10762.53</v>
      </c>
      <c r="C164" s="9">
        <v>0</v>
      </c>
      <c r="D164" s="9">
        <v>10762.53</v>
      </c>
    </row>
    <row r="165" spans="1:4" x14ac:dyDescent="0.3">
      <c r="A165" s="2" t="str">
        <f>"3.1.2.02.07- Auxilio Creche"</f>
        <v>3.1.2.02.07- Auxilio Creche</v>
      </c>
      <c r="B165" s="9">
        <v>80901.36</v>
      </c>
      <c r="C165" s="9">
        <v>15432.78</v>
      </c>
      <c r="D165" s="9">
        <v>96334.14</v>
      </c>
    </row>
    <row r="166" spans="1:4" x14ac:dyDescent="0.3">
      <c r="A166" s="2" t="str">
        <f>"3.1.3.00.00- MATERIAIS"</f>
        <v>3.1.3.00.00- MATERIAIS</v>
      </c>
      <c r="B166" s="9">
        <v>184870.73</v>
      </c>
      <c r="C166" s="9">
        <v>29078.32</v>
      </c>
      <c r="D166" s="9">
        <v>213949.05</v>
      </c>
    </row>
    <row r="167" spans="1:4" x14ac:dyDescent="0.3">
      <c r="A167" s="2" t="str">
        <f>"3.1.3.00.01- Bens de natureza permanente"</f>
        <v>3.1.3.00.01- Bens de natureza permanente</v>
      </c>
      <c r="B167" s="9">
        <v>7653.6</v>
      </c>
      <c r="C167" s="9">
        <v>0</v>
      </c>
      <c r="D167" s="9">
        <v>7653.6</v>
      </c>
    </row>
    <row r="168" spans="1:4" x14ac:dyDescent="0.3">
      <c r="A168" s="2" t="str">
        <f>"3.1.3.00.08- Material seguranca e uniformes"</f>
        <v>3.1.3.00.08- Material seguranca e uniformes</v>
      </c>
      <c r="B168" s="9">
        <v>830.04</v>
      </c>
      <c r="C168" s="9">
        <v>740</v>
      </c>
      <c r="D168" s="9">
        <v>1570.04</v>
      </c>
    </row>
    <row r="169" spans="1:4" x14ac:dyDescent="0.3">
      <c r="A169" s="2" t="str">
        <f>"3.1.3.00.09- Material limp/conserv/copa/cozin"</f>
        <v>3.1.3.00.09- Material limp/conserv/copa/cozin</v>
      </c>
      <c r="B169" s="9">
        <v>68536.05</v>
      </c>
      <c r="C169" s="9">
        <v>10460.780000000001</v>
      </c>
      <c r="D169" s="9">
        <v>78996.83</v>
      </c>
    </row>
    <row r="170" spans="1:4" x14ac:dyDescent="0.3">
      <c r="A170" s="2" t="str">
        <f>"3.1.3.00.10- Impressos e material de escritorio"</f>
        <v>3.1.3.00.10- Impressos e material de escritorio</v>
      </c>
      <c r="B170" s="9">
        <v>25367.63</v>
      </c>
      <c r="C170" s="9">
        <v>4430.66</v>
      </c>
      <c r="D170" s="9">
        <v>29798.29</v>
      </c>
    </row>
    <row r="171" spans="1:4" x14ac:dyDescent="0.3">
      <c r="A171" s="2" t="str">
        <f>"3.1.3.00.11- Materiais manut. inst. prediais"</f>
        <v>3.1.3.00.11- Materiais manut. inst. prediais</v>
      </c>
      <c r="B171" s="9">
        <v>69203.25</v>
      </c>
      <c r="C171" s="9">
        <v>6989.96</v>
      </c>
      <c r="D171" s="9">
        <v>76193.210000000006</v>
      </c>
    </row>
    <row r="172" spans="1:4" x14ac:dyDescent="0.3">
      <c r="A172" s="2" t="str">
        <f>"3.1.3.00.15- Materiais e supriment informatic"</f>
        <v>3.1.3.00.15- Materiais e supriment informatic</v>
      </c>
      <c r="B172" s="9">
        <v>5521.27</v>
      </c>
      <c r="C172" s="9">
        <v>336.96</v>
      </c>
      <c r="D172" s="9">
        <v>5858.23</v>
      </c>
    </row>
    <row r="173" spans="1:4" x14ac:dyDescent="0.3">
      <c r="A173" s="2" t="str">
        <f>"3.1.3.00.99- Outros materiais"</f>
        <v>3.1.3.00.99- Outros materiais</v>
      </c>
      <c r="B173" s="9">
        <v>7758.89</v>
      </c>
      <c r="C173" s="9">
        <v>6119.96</v>
      </c>
      <c r="D173" s="9">
        <v>13878.85</v>
      </c>
    </row>
    <row r="174" spans="1:4" x14ac:dyDescent="0.3">
      <c r="A174" s="2" t="str">
        <f>"3.1.4.00.00- SERVICOS PRESTADOS POR TERCEIROS"</f>
        <v>3.1.4.00.00- SERVICOS PRESTADOS POR TERCEIROS</v>
      </c>
      <c r="B174" s="9">
        <v>19628579.34</v>
      </c>
      <c r="C174" s="9">
        <v>3876111.39</v>
      </c>
      <c r="D174" s="9">
        <v>23504690.73</v>
      </c>
    </row>
    <row r="175" spans="1:4" x14ac:dyDescent="0.3">
      <c r="A175" s="2" t="str">
        <f>"3.1.4.00.01- Consultoria"</f>
        <v>3.1.4.00.01- Consultoria</v>
      </c>
      <c r="B175" s="9">
        <v>27469.31</v>
      </c>
      <c r="C175" s="9">
        <v>455.73</v>
      </c>
      <c r="D175" s="9">
        <v>27925.040000000001</v>
      </c>
    </row>
    <row r="176" spans="1:4" x14ac:dyDescent="0.3">
      <c r="A176" s="2" t="str">
        <f>"3.1.4.00.02- Locacao de veiculos"</f>
        <v>3.1.4.00.02- Locacao de veiculos</v>
      </c>
      <c r="B176" s="9">
        <v>32164.2</v>
      </c>
      <c r="C176" s="9">
        <v>6432.84</v>
      </c>
      <c r="D176" s="9">
        <v>38597.040000000001</v>
      </c>
    </row>
    <row r="177" spans="1:4" x14ac:dyDescent="0.3">
      <c r="A177" s="2" t="str">
        <f>"3.1.4.00.03- Locacao de equipamentos"</f>
        <v>3.1.4.00.03- Locacao de equipamentos</v>
      </c>
      <c r="B177" s="9">
        <v>18925.62</v>
      </c>
      <c r="C177" s="9">
        <v>5169.6899999999996</v>
      </c>
      <c r="D177" s="9">
        <v>24095.31</v>
      </c>
    </row>
    <row r="178" spans="1:4" x14ac:dyDescent="0.3">
      <c r="A178" s="2" t="str">
        <f>"3.1.4.00.08- Servicos de auditoria"</f>
        <v>3.1.4.00.08- Servicos de auditoria</v>
      </c>
      <c r="B178" s="9">
        <v>0</v>
      </c>
      <c r="C178" s="9">
        <v>12200</v>
      </c>
      <c r="D178" s="9">
        <v>12200</v>
      </c>
    </row>
    <row r="179" spans="1:4" x14ac:dyDescent="0.3">
      <c r="A179" s="2" t="str">
        <f>"3.1.4.00.10- Mao de obra contratada"</f>
        <v>3.1.4.00.10- Mao de obra contratada</v>
      </c>
      <c r="B179" s="9">
        <v>12647564.59</v>
      </c>
      <c r="C179" s="9">
        <v>2529881.1</v>
      </c>
      <c r="D179" s="9">
        <v>15177445.689999999</v>
      </c>
    </row>
    <row r="180" spans="1:4" x14ac:dyDescent="0.3">
      <c r="A180" s="2" t="str">
        <f>"3.1.4.00.13- Publicidade e divulgacao"</f>
        <v>3.1.4.00.13- Publicidade e divulgacao</v>
      </c>
      <c r="B180" s="9">
        <v>19589.36</v>
      </c>
      <c r="C180" s="9">
        <v>595.44000000000005</v>
      </c>
      <c r="D180" s="9">
        <v>20184.8</v>
      </c>
    </row>
    <row r="181" spans="1:4" x14ac:dyDescent="0.3">
      <c r="A181" s="2" t="str">
        <f>"3.1.4.00.14- Informatica-serv. e/ou locacao"</f>
        <v>3.1.4.00.14- Informatica-serv. e/ou locacao</v>
      </c>
      <c r="B181" s="9">
        <v>1257413.9099999999</v>
      </c>
      <c r="C181" s="9">
        <v>215283.49</v>
      </c>
      <c r="D181" s="9">
        <v>1472697.4</v>
      </c>
    </row>
    <row r="182" spans="1:4" x14ac:dyDescent="0.3">
      <c r="A182" s="2" t="str">
        <f>"3.1.4.00.15- Outros serv. prestados - PF"</f>
        <v>3.1.4.00.15- Outros serv. prestados - PF</v>
      </c>
      <c r="B182" s="9">
        <v>161160.79999999999</v>
      </c>
      <c r="C182" s="9">
        <v>25143.66</v>
      </c>
      <c r="D182" s="9">
        <v>186304.46</v>
      </c>
    </row>
    <row r="183" spans="1:4" x14ac:dyDescent="0.3">
      <c r="A183" s="2" t="str">
        <f>"3.1.4.00.16- Outros serv. Prestados - PJ"</f>
        <v>3.1.4.00.16- Outros serv. Prestados - PJ</v>
      </c>
      <c r="B183" s="9">
        <v>927058.55</v>
      </c>
      <c r="C183" s="9">
        <v>97227.73</v>
      </c>
      <c r="D183" s="9">
        <v>1024286.28</v>
      </c>
    </row>
    <row r="184" spans="1:4" x14ac:dyDescent="0.3">
      <c r="A184" s="2" t="str">
        <f>"3.1.4.00.17- Servicos postais"</f>
        <v>3.1.4.00.17- Servicos postais</v>
      </c>
      <c r="B184" s="9">
        <v>27455.37</v>
      </c>
      <c r="C184" s="9">
        <v>6269.06</v>
      </c>
      <c r="D184" s="9">
        <v>33724.43</v>
      </c>
    </row>
    <row r="185" spans="1:4" x14ac:dyDescent="0.3">
      <c r="A185" s="2" t="str">
        <f>"3.1.4.00.19- Manut. imoveis/instal/equip.oper"</f>
        <v>3.1.4.00.19- Manut. imoveis/instal/equip.oper</v>
      </c>
      <c r="B185" s="9">
        <v>49040.82</v>
      </c>
      <c r="C185" s="9">
        <v>9496.7099999999991</v>
      </c>
      <c r="D185" s="9">
        <v>58537.53</v>
      </c>
    </row>
    <row r="186" spans="1:4" x14ac:dyDescent="0.3">
      <c r="A186" s="2" t="str">
        <f>"3.1.4.00.26- Serv.limp.conserv."</f>
        <v>3.1.4.00.26- Serv.limp.conserv.</v>
      </c>
      <c r="B186" s="9">
        <v>4539626.3099999996</v>
      </c>
      <c r="C186" s="9">
        <v>959852.15</v>
      </c>
      <c r="D186" s="9">
        <v>5499478.46</v>
      </c>
    </row>
    <row r="187" spans="1:4" x14ac:dyDescent="0.3">
      <c r="A187" s="2" t="str">
        <f>"3.1.4.00.32- Vale transporte"</f>
        <v>3.1.4.00.32- Vale transporte</v>
      </c>
      <c r="B187" s="9">
        <v>32984.61</v>
      </c>
      <c r="C187" s="9">
        <v>36972.69</v>
      </c>
      <c r="D187" s="9">
        <v>69957.3</v>
      </c>
    </row>
    <row r="188" spans="1:4" x14ac:dyDescent="0.3">
      <c r="A188" s="2" t="str">
        <f>"3.1.4.00.33- Vale Ref./Al.terceir."</f>
        <v>3.1.4.00.33- Vale Ref./Al.terceir.</v>
      </c>
      <c r="B188" s="9">
        <v>104736.56</v>
      </c>
      <c r="C188" s="9">
        <v>80276.58</v>
      </c>
      <c r="D188" s="9">
        <v>185013.14</v>
      </c>
    </row>
    <row r="189" spans="1:4" x14ac:dyDescent="0.3">
      <c r="A189" s="2" t="str">
        <f>"3.1.4.00.34- Comissao s/venda rotativo"</f>
        <v>3.1.4.00.34- Comissao s/venda rotativo</v>
      </c>
      <c r="B189" s="9">
        <v>5707.84</v>
      </c>
      <c r="C189" s="9">
        <v>0</v>
      </c>
      <c r="D189" s="9">
        <v>5707.84</v>
      </c>
    </row>
    <row r="190" spans="1:4" x14ac:dyDescent="0.3">
      <c r="A190" s="2" t="str">
        <f>"3.1.4.00.36- (-) Desconto ISSQN conf Lei 9145 serv. P"</f>
        <v>3.1.4.00.36- (-) Desconto ISSQN conf Lei 9145 serv. P</v>
      </c>
      <c r="B190" s="9">
        <v>-717218.54</v>
      </c>
      <c r="C190" s="9">
        <v>-109145.48</v>
      </c>
      <c r="D190" s="9">
        <v>-826364.02</v>
      </c>
    </row>
    <row r="191" spans="1:4" x14ac:dyDescent="0.3">
      <c r="A191" s="2" t="str">
        <f>"3.1.4.00.39- Convênio Guarda Municipal"</f>
        <v>3.1.4.00.39- Convênio Guarda Municipal</v>
      </c>
      <c r="B191" s="9">
        <v>494900.03</v>
      </c>
      <c r="C191" s="9">
        <v>0</v>
      </c>
      <c r="D191" s="9">
        <v>494900.03</v>
      </c>
    </row>
    <row r="192" spans="1:4" x14ac:dyDescent="0.3">
      <c r="A192" s="2" t="str">
        <f>"3.1.5.00.00- TARIFAS PUBLICAS"</f>
        <v>3.1.5.00.00- TARIFAS PUBLICAS</v>
      </c>
      <c r="B192" s="9">
        <v>717906.85</v>
      </c>
      <c r="C192" s="9">
        <v>16645.64</v>
      </c>
      <c r="D192" s="9">
        <v>734552.49</v>
      </c>
    </row>
    <row r="193" spans="1:4" x14ac:dyDescent="0.3">
      <c r="A193" s="2" t="str">
        <f>"3.1.5.00.02- Energia eletrica"</f>
        <v>3.1.5.00.02- Energia eletrica</v>
      </c>
      <c r="B193" s="9">
        <v>77085.350000000006</v>
      </c>
      <c r="C193" s="9">
        <v>0</v>
      </c>
      <c r="D193" s="9">
        <v>77085.350000000006</v>
      </c>
    </row>
    <row r="194" spans="1:4" x14ac:dyDescent="0.3">
      <c r="A194" s="2" t="str">
        <f>"3.1.5.00.03- Telefone"</f>
        <v>3.1.5.00.03- Telefone</v>
      </c>
      <c r="B194" s="9">
        <v>212180.01</v>
      </c>
      <c r="C194" s="9">
        <v>16645.64</v>
      </c>
      <c r="D194" s="9">
        <v>228825.65</v>
      </c>
    </row>
    <row r="195" spans="1:4" x14ac:dyDescent="0.3">
      <c r="A195" s="2" t="str">
        <f>"3.1.5.00.04- Copasa/FMS"</f>
        <v>3.1.5.00.04- Copasa/FMS</v>
      </c>
      <c r="B195" s="9">
        <v>428641.49</v>
      </c>
      <c r="C195" s="9">
        <v>0</v>
      </c>
      <c r="D195" s="9">
        <v>428641.49</v>
      </c>
    </row>
    <row r="196" spans="1:4" x14ac:dyDescent="0.3">
      <c r="A196" s="2" t="str">
        <f>"3.1.6.00.00- DESPESAS TRIBUTARIAS"</f>
        <v>3.1.6.00.00- DESPESAS TRIBUTARIAS</v>
      </c>
      <c r="B196" s="9">
        <v>1686033.21</v>
      </c>
      <c r="C196" s="9">
        <v>364757.9</v>
      </c>
      <c r="D196" s="9">
        <v>2050791.11</v>
      </c>
    </row>
    <row r="197" spans="1:4" x14ac:dyDescent="0.3">
      <c r="A197" s="2" t="str">
        <f>"3.1.6.00.01- Taxas legais"</f>
        <v>3.1.6.00.01- Taxas legais</v>
      </c>
      <c r="B197" s="9">
        <v>27717.96</v>
      </c>
      <c r="C197" s="9">
        <v>465.88</v>
      </c>
      <c r="D197" s="9">
        <v>28183.84</v>
      </c>
    </row>
    <row r="198" spans="1:4" x14ac:dyDescent="0.3">
      <c r="A198" s="2" t="str">
        <f>"3.1.6.00.02- Imposto de renda"</f>
        <v>3.1.6.00.02- Imposto de renda</v>
      </c>
      <c r="B198" s="9">
        <v>147054.62</v>
      </c>
      <c r="C198" s="9">
        <v>0</v>
      </c>
      <c r="D198" s="9">
        <v>147054.62</v>
      </c>
    </row>
    <row r="199" spans="1:4" x14ac:dyDescent="0.3">
      <c r="A199" s="2" t="str">
        <f>"3.1.6.00.03- IOF"</f>
        <v>3.1.6.00.03- IOF</v>
      </c>
      <c r="B199" s="9">
        <v>17544.11</v>
      </c>
      <c r="C199" s="9">
        <v>0</v>
      </c>
      <c r="D199" s="9">
        <v>17544.11</v>
      </c>
    </row>
    <row r="200" spans="1:4" x14ac:dyDescent="0.3">
      <c r="A200" s="2" t="str">
        <f>"3.1.6.00.05- Contrib. Social s/lucro liquido"</f>
        <v>3.1.6.00.05- Contrib. Social s/lucro liquido</v>
      </c>
      <c r="B200" s="9">
        <v>61579.66</v>
      </c>
      <c r="C200" s="9">
        <v>0</v>
      </c>
      <c r="D200" s="9">
        <v>61579.66</v>
      </c>
    </row>
    <row r="201" spans="1:4" x14ac:dyDescent="0.3">
      <c r="A201" s="2" t="str">
        <f>"3.1.6.00.06- PIS"</f>
        <v>3.1.6.00.06- PIS</v>
      </c>
      <c r="B201" s="9">
        <v>241871.45</v>
      </c>
      <c r="C201" s="9">
        <v>61658.96</v>
      </c>
      <c r="D201" s="9">
        <v>303530.40999999997</v>
      </c>
    </row>
    <row r="202" spans="1:4" x14ac:dyDescent="0.3">
      <c r="A202" s="2" t="str">
        <f>"3.1.6.00.07- COFINS"</f>
        <v>3.1.6.00.07- COFINS</v>
      </c>
      <c r="B202" s="9">
        <v>1114074.58</v>
      </c>
      <c r="C202" s="9">
        <v>284004.93</v>
      </c>
      <c r="D202" s="9">
        <v>1398079.51</v>
      </c>
    </row>
    <row r="203" spans="1:4" x14ac:dyDescent="0.3">
      <c r="A203" s="2" t="str">
        <f>"3.1.6.00.08- Multas indedutiveis"</f>
        <v>3.1.6.00.08- Multas indedutiveis</v>
      </c>
      <c r="B203" s="9">
        <v>12.81</v>
      </c>
      <c r="C203" s="9">
        <v>733.83</v>
      </c>
      <c r="D203" s="9">
        <v>746.64</v>
      </c>
    </row>
    <row r="204" spans="1:4" x14ac:dyDescent="0.3">
      <c r="A204" s="2" t="str">
        <f>"3.1.6.00.14- Contrib.entid.classe"</f>
        <v>3.1.6.00.14- Contrib.entid.classe</v>
      </c>
      <c r="B204" s="9">
        <v>5356.22</v>
      </c>
      <c r="C204" s="9">
        <v>103.03</v>
      </c>
      <c r="D204" s="9">
        <v>5459.25</v>
      </c>
    </row>
    <row r="205" spans="1:4" x14ac:dyDescent="0.3">
      <c r="A205" s="2" t="str">
        <f>"3.1.6.00.15- INSS Serv.terceiros"</f>
        <v>3.1.6.00.15- INSS Serv.terceiros</v>
      </c>
      <c r="B205" s="9">
        <v>32200.75</v>
      </c>
      <c r="C205" s="9">
        <v>5028.75</v>
      </c>
      <c r="D205" s="9">
        <v>37229.5</v>
      </c>
    </row>
    <row r="206" spans="1:4" x14ac:dyDescent="0.3">
      <c r="A206" s="2" t="str">
        <f>"3.1.6.00.17- PIS s/ receitas financeiras"</f>
        <v>3.1.6.00.17- PIS s/ receitas financeiras</v>
      </c>
      <c r="B206" s="9">
        <v>5398.64</v>
      </c>
      <c r="C206" s="9">
        <v>1784.01</v>
      </c>
      <c r="D206" s="9">
        <v>7182.65</v>
      </c>
    </row>
    <row r="207" spans="1:4" x14ac:dyDescent="0.3">
      <c r="A207" s="2" t="str">
        <f>"3.1.6.00.18- Cofins s/ receitas financeiras"</f>
        <v>3.1.6.00.18- Cofins s/ receitas financeiras</v>
      </c>
      <c r="B207" s="9">
        <v>33222.410000000003</v>
      </c>
      <c r="C207" s="9">
        <v>10978.51</v>
      </c>
      <c r="D207" s="9">
        <v>44200.92</v>
      </c>
    </row>
    <row r="208" spans="1:4" x14ac:dyDescent="0.3">
      <c r="A208" s="2" t="str">
        <f>"3.1.7.00.00- DESPESAS FINANCEIRAS"</f>
        <v>3.1.7.00.00- DESPESAS FINANCEIRAS</v>
      </c>
      <c r="B208" s="9">
        <v>583.58000000000004</v>
      </c>
      <c r="C208" s="9">
        <v>128.4</v>
      </c>
      <c r="D208" s="9">
        <v>711.98</v>
      </c>
    </row>
    <row r="209" spans="1:4" x14ac:dyDescent="0.3">
      <c r="A209" s="2" t="str">
        <f>"3.1.7.01.02- Despesas bancarias"</f>
        <v>3.1.7.01.02- Despesas bancarias</v>
      </c>
      <c r="B209" s="9">
        <v>583.58000000000004</v>
      </c>
      <c r="C209" s="9">
        <v>128.4</v>
      </c>
      <c r="D209" s="9">
        <v>711.98</v>
      </c>
    </row>
    <row r="210" spans="1:4" x14ac:dyDescent="0.3">
      <c r="A210" s="2" t="str">
        <f>"3.1.8.00.00- OUTRAS DESPESAS"</f>
        <v>3.1.8.00.00- OUTRAS DESPESAS</v>
      </c>
      <c r="B210" s="9">
        <v>2123384.73</v>
      </c>
      <c r="C210" s="9">
        <v>539092.85</v>
      </c>
      <c r="D210" s="9">
        <v>2662477.58</v>
      </c>
    </row>
    <row r="211" spans="1:4" x14ac:dyDescent="0.3">
      <c r="A211" s="2" t="str">
        <f>"3.1.8.00.01- Despesas de viagem"</f>
        <v>3.1.8.00.01- Despesas de viagem</v>
      </c>
      <c r="B211" s="9">
        <v>3594.41</v>
      </c>
      <c r="C211" s="9">
        <v>0</v>
      </c>
      <c r="D211" s="9">
        <v>3594.41</v>
      </c>
    </row>
    <row r="212" spans="1:4" x14ac:dyDescent="0.3">
      <c r="A212" s="2" t="str">
        <f>"3.1.8.00.03- Livros, jornais e revistas"</f>
        <v>3.1.8.00.03- Livros, jornais e revistas</v>
      </c>
      <c r="B212" s="9">
        <v>26952.75</v>
      </c>
      <c r="C212" s="9">
        <v>0</v>
      </c>
      <c r="D212" s="9">
        <v>26952.75</v>
      </c>
    </row>
    <row r="213" spans="1:4" x14ac:dyDescent="0.3">
      <c r="A213" s="2" t="str">
        <f>"3.1.8.00.05- Depreciacao/amort"</f>
        <v>3.1.8.00.05- Depreciacao/amort</v>
      </c>
      <c r="B213" s="9">
        <v>130270.94</v>
      </c>
      <c r="C213" s="9">
        <v>25687.43</v>
      </c>
      <c r="D213" s="9">
        <v>155958.37</v>
      </c>
    </row>
    <row r="214" spans="1:4" x14ac:dyDescent="0.3">
      <c r="A214" s="2" t="str">
        <f>"3.1.8.00.06- Seguros bens moveis e imoveis"</f>
        <v>3.1.8.00.06- Seguros bens moveis e imoveis</v>
      </c>
      <c r="B214" s="9">
        <v>10876.23</v>
      </c>
      <c r="C214" s="9">
        <v>2550.38</v>
      </c>
      <c r="D214" s="9">
        <v>13426.61</v>
      </c>
    </row>
    <row r="215" spans="1:4" x14ac:dyDescent="0.3">
      <c r="A215" s="2" t="str">
        <f>"3.1.8.00.09- Multas e juros dedutiveis"</f>
        <v>3.1.8.00.09- Multas e juros dedutiveis</v>
      </c>
      <c r="B215" s="9">
        <v>1225.43</v>
      </c>
      <c r="C215" s="9">
        <v>0</v>
      </c>
      <c r="D215" s="9">
        <v>1225.43</v>
      </c>
    </row>
    <row r="216" spans="1:4" x14ac:dyDescent="0.3">
      <c r="A216" s="2" t="str">
        <f>"3.1.8.00.12- Acoes judiciais terceiros"</f>
        <v>3.1.8.00.12- Acoes judiciais terceiros</v>
      </c>
      <c r="B216" s="9">
        <v>13932</v>
      </c>
      <c r="C216" s="9">
        <v>6521.21</v>
      </c>
      <c r="D216" s="9">
        <v>20453.21</v>
      </c>
    </row>
    <row r="217" spans="1:4" x14ac:dyDescent="0.3">
      <c r="A217" s="2" t="str">
        <f>"3.1.8.00.16- Baixa de imobilizado"</f>
        <v>3.1.8.00.16- Baixa de imobilizado</v>
      </c>
      <c r="B217" s="9">
        <v>3376.93</v>
      </c>
      <c r="C217" s="9">
        <v>0</v>
      </c>
      <c r="D217" s="9">
        <v>3376.93</v>
      </c>
    </row>
    <row r="218" spans="1:4" x14ac:dyDescent="0.3">
      <c r="A218" s="2" t="str">
        <f>"3.1.8.00.17- Gastos com eventos e promocoes"</f>
        <v>3.1.8.00.17- Gastos com eventos e promocoes</v>
      </c>
      <c r="B218" s="9">
        <v>0</v>
      </c>
      <c r="C218" s="9">
        <v>2800</v>
      </c>
      <c r="D218" s="9">
        <v>2800</v>
      </c>
    </row>
    <row r="219" spans="1:4" x14ac:dyDescent="0.3">
      <c r="A219" s="2" t="str">
        <f>"3.1.8.00.23- Custas/Despesas Judiciais"</f>
        <v>3.1.8.00.23- Custas/Despesas Judiciais</v>
      </c>
      <c r="B219" s="9">
        <v>59424.41</v>
      </c>
      <c r="C219" s="9">
        <v>8679.9500000000007</v>
      </c>
      <c r="D219" s="9">
        <v>68104.36</v>
      </c>
    </row>
    <row r="220" spans="1:4" x14ac:dyDescent="0.3">
      <c r="A220" s="2" t="str">
        <f>"3.1.8.00.30- Estacionamento Rotativo Digital"</f>
        <v>3.1.8.00.30- Estacionamento Rotativo Digital</v>
      </c>
      <c r="B220" s="9">
        <v>1828900.01</v>
      </c>
      <c r="C220" s="9">
        <v>489866.23</v>
      </c>
      <c r="D220" s="9">
        <v>2318766.2400000002</v>
      </c>
    </row>
    <row r="221" spans="1:4" x14ac:dyDescent="0.3">
      <c r="A221" s="2" t="str">
        <f>"3.1.8.00.99- Despesas diversas"</f>
        <v>3.1.8.00.99- Despesas diversas</v>
      </c>
      <c r="B221" s="9">
        <v>44831.62</v>
      </c>
      <c r="C221" s="9">
        <v>2987.65</v>
      </c>
      <c r="D221" s="9">
        <v>47819.27</v>
      </c>
    </row>
    <row r="222" spans="1:4" x14ac:dyDescent="0.3">
      <c r="A222" s="2" t="str">
        <f>""</f>
        <v/>
      </c>
      <c r="B222" s="3" t="str">
        <f>""</f>
        <v/>
      </c>
      <c r="C222" s="3" t="str">
        <f>""</f>
        <v/>
      </c>
      <c r="D222" s="3" t="str">
        <f>""</f>
        <v/>
      </c>
    </row>
    <row r="223" spans="1:4" x14ac:dyDescent="0.3">
      <c r="A223" s="2" t="str">
        <f>"RECEITAS"</f>
        <v>RECEITAS</v>
      </c>
      <c r="B223" s="3" t="str">
        <f>""</f>
        <v/>
      </c>
      <c r="C223" s="3" t="str">
        <f>""</f>
        <v/>
      </c>
      <c r="D223" s="3" t="str">
        <f>""</f>
        <v/>
      </c>
    </row>
    <row r="224" spans="1:4" x14ac:dyDescent="0.3">
      <c r="A224" s="2" t="str">
        <f>"4.0.0.00.00- RECEITAS"</f>
        <v>4.0.0.00.00- RECEITAS</v>
      </c>
      <c r="B224" s="9">
        <v>99663960.400000006</v>
      </c>
      <c r="C224" s="9">
        <v>21345528.109999999</v>
      </c>
      <c r="D224" s="9">
        <v>121009488.51000001</v>
      </c>
    </row>
    <row r="225" spans="1:4" x14ac:dyDescent="0.3">
      <c r="A225" s="2" t="str">
        <f>"4.1.0.00.00- RECEITAS BHTRANS"</f>
        <v>4.1.0.00.00- RECEITAS BHTRANS</v>
      </c>
      <c r="B225" s="9">
        <v>14171742.51</v>
      </c>
      <c r="C225" s="9">
        <v>3644106.78</v>
      </c>
      <c r="D225" s="9">
        <v>17815849.289999999</v>
      </c>
    </row>
    <row r="226" spans="1:4" x14ac:dyDescent="0.3">
      <c r="A226" s="2" t="str">
        <f>"4.1.1.00.00- RECEITAS OPERACIONAIS"</f>
        <v>4.1.1.00.00- RECEITAS OPERACIONAIS</v>
      </c>
      <c r="B226" s="9">
        <v>13540250</v>
      </c>
      <c r="C226" s="9">
        <v>3489750</v>
      </c>
      <c r="D226" s="9">
        <v>17030000</v>
      </c>
    </row>
    <row r="227" spans="1:4" x14ac:dyDescent="0.3">
      <c r="A227" s="2" t="str">
        <f>"4.1.1.00.18- Transf. financeira Convenios divervos"</f>
        <v>4.1.1.00.18- Transf. financeira Convenios divervos</v>
      </c>
      <c r="B227" s="9">
        <v>200000</v>
      </c>
      <c r="C227" s="9">
        <v>0</v>
      </c>
      <c r="D227" s="9">
        <v>200000</v>
      </c>
    </row>
    <row r="228" spans="1:4" x14ac:dyDescent="0.3">
      <c r="A228" s="2" t="str">
        <f>"4.1.1.00.21- Estacionamento Rotativo Digital"</f>
        <v>4.1.1.00.21- Estacionamento Rotativo Digital</v>
      </c>
      <c r="B228" s="9">
        <v>13340250</v>
      </c>
      <c r="C228" s="9">
        <v>3489750</v>
      </c>
      <c r="D228" s="9">
        <v>16830000</v>
      </c>
    </row>
    <row r="229" spans="1:4" x14ac:dyDescent="0.3">
      <c r="A229" s="2" t="str">
        <f>"4.1.8.00.00- RECEITAS ALUGUEIS ESTACOES"</f>
        <v>4.1.8.00.00- RECEITAS ALUGUEIS ESTACOES</v>
      </c>
      <c r="B229" s="9">
        <v>631492.51</v>
      </c>
      <c r="C229" s="9">
        <v>154356.78</v>
      </c>
      <c r="D229" s="9">
        <v>785849.29</v>
      </c>
    </row>
    <row r="230" spans="1:4" x14ac:dyDescent="0.3">
      <c r="A230" s="2" t="str">
        <f>"4.1.8.00.01- Alugueis Estacoes"</f>
        <v>4.1.8.00.01- Alugueis Estacoes</v>
      </c>
      <c r="B230" s="9">
        <v>631492.51</v>
      </c>
      <c r="C230" s="9">
        <v>154356.78</v>
      </c>
      <c r="D230" s="9">
        <v>785849.29</v>
      </c>
    </row>
    <row r="231" spans="1:4" x14ac:dyDescent="0.3">
      <c r="A231" s="2" t="str">
        <f>"4.2.0.00.00- RECEITAS FINANCEIRAS"</f>
        <v>4.2.0.00.00- RECEITAS FINANCEIRAS</v>
      </c>
      <c r="B231" s="9">
        <v>830560.32</v>
      </c>
      <c r="C231" s="9">
        <v>274462.75</v>
      </c>
      <c r="D231" s="9">
        <v>1105023.07</v>
      </c>
    </row>
    <row r="232" spans="1:4" x14ac:dyDescent="0.3">
      <c r="A232" s="2" t="str">
        <f>"4.2.1.00.00- RECEITAS FINANCEIRAS"</f>
        <v>4.2.1.00.00- RECEITAS FINANCEIRAS</v>
      </c>
      <c r="B232" s="9">
        <v>830560.32</v>
      </c>
      <c r="C232" s="9">
        <v>274462.75</v>
      </c>
      <c r="D232" s="9">
        <v>1105023.07</v>
      </c>
    </row>
    <row r="233" spans="1:4" x14ac:dyDescent="0.3">
      <c r="A233" s="2" t="str">
        <f>"4.2.1.00.01- Rendimentos aplic. Financeira"</f>
        <v>4.2.1.00.01- Rendimentos aplic. Financeira</v>
      </c>
      <c r="B233" s="9">
        <v>822899.67</v>
      </c>
      <c r="C233" s="9">
        <v>274462.75</v>
      </c>
      <c r="D233" s="9">
        <v>1097362.42</v>
      </c>
    </row>
    <row r="234" spans="1:4" x14ac:dyDescent="0.3">
      <c r="A234" s="2" t="str">
        <f>"4.2.1.00.05- Receitas Financeiras"</f>
        <v>4.2.1.00.05- Receitas Financeiras</v>
      </c>
      <c r="B234" s="9">
        <v>7660.65</v>
      </c>
      <c r="C234" s="9">
        <v>0</v>
      </c>
      <c r="D234" s="9">
        <v>7660.65</v>
      </c>
    </row>
    <row r="235" spans="1:4" x14ac:dyDescent="0.3">
      <c r="A235" s="2" t="str">
        <f>"4.3.0.00.00- OUTRAS RECEITAS"</f>
        <v>4.3.0.00.00- OUTRAS RECEITAS</v>
      </c>
      <c r="B235" s="9">
        <v>84661657.569999993</v>
      </c>
      <c r="C235" s="9">
        <v>17426958.579999998</v>
      </c>
      <c r="D235" s="9">
        <v>102088616.15000001</v>
      </c>
    </row>
    <row r="236" spans="1:4" x14ac:dyDescent="0.3">
      <c r="A236" s="2" t="str">
        <f>"4.3.1.00.00- OUTRAS RECEITAS"</f>
        <v>4.3.1.00.00- OUTRAS RECEITAS</v>
      </c>
      <c r="B236" s="9">
        <v>84661657.569999993</v>
      </c>
      <c r="C236" s="9">
        <v>17426958.579999998</v>
      </c>
      <c r="D236" s="9">
        <v>102088616.15000001</v>
      </c>
    </row>
    <row r="237" spans="1:4" x14ac:dyDescent="0.3">
      <c r="A237" s="2" t="str">
        <f>"4.3.1.00.04- Receitas Diversas"</f>
        <v>4.3.1.00.04- Receitas Diversas</v>
      </c>
      <c r="B237" s="9">
        <v>487133.7</v>
      </c>
      <c r="C237" s="9">
        <v>92800.14</v>
      </c>
      <c r="D237" s="9">
        <v>579933.84</v>
      </c>
    </row>
    <row r="238" spans="1:4" x14ac:dyDescent="0.3">
      <c r="A238" s="2" t="str">
        <f>"4.3.1.00.10- Outras Receitas- Subvenção Econ. Custeio"</f>
        <v>4.3.1.00.10- Outras Receitas- Subvenção Econ. Custeio</v>
      </c>
      <c r="B238" s="9">
        <v>84174523.870000005</v>
      </c>
      <c r="C238" s="9">
        <v>17334158.440000001</v>
      </c>
      <c r="D238" s="9">
        <v>101508682.31</v>
      </c>
    </row>
    <row r="239" spans="1:4" x14ac:dyDescent="0.3">
      <c r="A239" s="2" t="str">
        <f>""</f>
        <v/>
      </c>
      <c r="B239" s="3" t="str">
        <f>""</f>
        <v/>
      </c>
      <c r="C239" s="3" t="str">
        <f>""</f>
        <v/>
      </c>
      <c r="D239" s="3" t="str">
        <f>""</f>
        <v/>
      </c>
    </row>
    <row r="240" spans="1:4" x14ac:dyDescent="0.3">
      <c r="A240" s="2" t="str">
        <f>"APURACAO DE RESULTADOS"</f>
        <v>APURACAO DE RESULTADOS</v>
      </c>
      <c r="B240" s="3" t="str">
        <f>""</f>
        <v/>
      </c>
      <c r="C240" s="3" t="str">
        <f>""</f>
        <v/>
      </c>
      <c r="D240" s="3" t="str">
        <f>""</f>
        <v/>
      </c>
    </row>
    <row r="241" spans="1:4" x14ac:dyDescent="0.3">
      <c r="A241" s="2" t="str">
        <f>"5.0.0.00.00- APURACAO DE RESULTADOS"</f>
        <v>5.0.0.00.00- APURACAO DE RESULTADOS</v>
      </c>
      <c r="B241" s="9">
        <v>-3619400.4</v>
      </c>
      <c r="C241" s="9">
        <v>1148296.94</v>
      </c>
      <c r="D241" s="9">
        <v>-2471103.46</v>
      </c>
    </row>
    <row r="242" spans="1:4" x14ac:dyDescent="0.3">
      <c r="A242" s="2" t="str">
        <f>"5.1.0.00.00- APURACAO DE RESULTADOS"</f>
        <v>5.1.0.00.00- APURACAO DE RESULTADOS</v>
      </c>
      <c r="B242" s="9">
        <v>-3619400.4</v>
      </c>
      <c r="C242" s="9">
        <v>1148296.94</v>
      </c>
      <c r="D242" s="9">
        <v>-2471103.46</v>
      </c>
    </row>
    <row r="243" spans="1:4" x14ac:dyDescent="0.3">
      <c r="A243" s="2" t="str">
        <f>"5.1.1.00.00- APURACAO DE RESULTADOS"</f>
        <v>5.1.1.00.00- APURACAO DE RESULTADOS</v>
      </c>
      <c r="B243" s="9">
        <v>-3619400.4</v>
      </c>
      <c r="C243" s="9">
        <v>1148296.94</v>
      </c>
      <c r="D243" s="9">
        <v>-2471103.46</v>
      </c>
    </row>
    <row r="244" spans="1:4" x14ac:dyDescent="0.3">
      <c r="A244" s="2" t="str">
        <f>"5.1.1.00.01- Transferencia das Despesas"</f>
        <v>5.1.1.00.01- Transferencia das Despesas</v>
      </c>
      <c r="B244" s="9">
        <v>-103283360.8</v>
      </c>
      <c r="C244" s="9">
        <v>-20197231.170000002</v>
      </c>
      <c r="D244" s="9">
        <v>-123480591.97</v>
      </c>
    </row>
    <row r="245" spans="1:4" ht="15" thickBot="1" x14ac:dyDescent="0.35">
      <c r="A245" s="4" t="str">
        <f>"5.1.1.00.02- Transferencia das Receitas"</f>
        <v>5.1.1.00.02- Transferencia das Receitas</v>
      </c>
      <c r="B245" s="10">
        <v>99663960.400000006</v>
      </c>
      <c r="C245" s="10">
        <v>21345528.109999999</v>
      </c>
      <c r="D245" s="10">
        <v>121009488.51000001</v>
      </c>
    </row>
    <row r="246" spans="1:4" x14ac:dyDescent="0.3">
      <c r="A246" t="s">
        <v>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01-2025</vt:lpstr>
      <vt:lpstr>02-2025</vt:lpstr>
      <vt:lpstr>03-2025</vt:lpstr>
      <vt:lpstr>04-2025</vt:lpstr>
      <vt:lpstr>05-2025</vt:lpstr>
      <vt:lpstr>06-2025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NERY SCHWARCZ BT002091</dc:creator>
  <cp:lastModifiedBy>DEBORA NERY SCHWARCZ BT002091</cp:lastModifiedBy>
  <dcterms:created xsi:type="dcterms:W3CDTF">2025-02-20T13:32:08Z</dcterms:created>
  <dcterms:modified xsi:type="dcterms:W3CDTF">2025-09-08T12:40:32Z</dcterms:modified>
</cp:coreProperties>
</file>