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002061\Downloads\"/>
    </mc:Choice>
  </mc:AlternateContent>
  <bookViews>
    <workbookView xWindow="0" yWindow="0" windowWidth="19200" windowHeight="11595"/>
  </bookViews>
  <sheets>
    <sheet name="01 2018" sheetId="1" r:id="rId1"/>
    <sheet name="02 2018" sheetId="2" r:id="rId2"/>
    <sheet name="03 2018" sheetId="3" r:id="rId3"/>
    <sheet name="04 2018" sheetId="4" r:id="rId4"/>
    <sheet name="05 2018" sheetId="5" r:id="rId5"/>
    <sheet name="06 2018" sheetId="6" r:id="rId6"/>
    <sheet name="07 2018" sheetId="7" r:id="rId7"/>
    <sheet name="08 2018" sheetId="8" r:id="rId8"/>
    <sheet name="09 2018" sheetId="10" r:id="rId9"/>
    <sheet name="10 2018" sheetId="11" r:id="rId10"/>
    <sheet name="11 2018" sheetId="12" r:id="rId11"/>
    <sheet name="12 2018" sheetId="13" r:id="rId12"/>
  </sheets>
  <calcPr calcId="162913"/>
</workbook>
</file>

<file path=xl/calcChain.xml><?xml version="1.0" encoding="utf-8"?>
<calcChain xmlns="http://schemas.openxmlformats.org/spreadsheetml/2006/main">
  <c r="D355" i="13" l="1"/>
  <c r="C355" i="13"/>
  <c r="B355" i="13"/>
  <c r="A355" i="13"/>
  <c r="D354" i="13"/>
  <c r="C354" i="13"/>
  <c r="B354" i="13"/>
  <c r="A354" i="13"/>
  <c r="D353" i="13"/>
  <c r="C353" i="13"/>
  <c r="B353" i="13"/>
  <c r="A353" i="13"/>
  <c r="D352" i="13"/>
  <c r="C352" i="13"/>
  <c r="B352" i="13"/>
  <c r="A352" i="13"/>
  <c r="D351" i="13"/>
  <c r="C351" i="13"/>
  <c r="B351" i="13"/>
  <c r="A351" i="13"/>
  <c r="D350" i="13"/>
  <c r="C350" i="13"/>
  <c r="B350" i="13"/>
  <c r="A350" i="13"/>
  <c r="D349" i="13"/>
  <c r="C349" i="13"/>
  <c r="B349" i="13"/>
  <c r="A349" i="13"/>
  <c r="D348" i="13"/>
  <c r="C348" i="13"/>
  <c r="B348" i="13"/>
  <c r="A348" i="13"/>
  <c r="D347" i="13"/>
  <c r="C347" i="13"/>
  <c r="B347" i="13"/>
  <c r="A347" i="13"/>
  <c r="D346" i="13"/>
  <c r="C346" i="13"/>
  <c r="B346" i="13"/>
  <c r="A346" i="13"/>
  <c r="D345" i="13"/>
  <c r="C345" i="13"/>
  <c r="B345" i="13"/>
  <c r="A345" i="13"/>
  <c r="D344" i="13"/>
  <c r="C344" i="13"/>
  <c r="B344" i="13"/>
  <c r="A344" i="13"/>
  <c r="D343" i="13"/>
  <c r="C343" i="13"/>
  <c r="B343" i="13"/>
  <c r="A343" i="13"/>
  <c r="D342" i="13"/>
  <c r="C342" i="13"/>
  <c r="B342" i="13"/>
  <c r="A342" i="13"/>
  <c r="D341" i="13"/>
  <c r="C341" i="13"/>
  <c r="B341" i="13"/>
  <c r="A341" i="13"/>
  <c r="D340" i="13"/>
  <c r="C340" i="13"/>
  <c r="B340" i="13"/>
  <c r="A340" i="13"/>
  <c r="D339" i="13"/>
  <c r="C339" i="13"/>
  <c r="B339" i="13"/>
  <c r="A339" i="13"/>
  <c r="D338" i="13"/>
  <c r="C338" i="13"/>
  <c r="B338" i="13"/>
  <c r="A338" i="13"/>
  <c r="D337" i="13"/>
  <c r="C337" i="13"/>
  <c r="B337" i="13"/>
  <c r="A337" i="13"/>
  <c r="D336" i="13"/>
  <c r="C336" i="13"/>
  <c r="B336" i="13"/>
  <c r="A336" i="13"/>
  <c r="D335" i="13"/>
  <c r="C335" i="13"/>
  <c r="B335" i="13"/>
  <c r="A335" i="13"/>
  <c r="D334" i="13"/>
  <c r="C334" i="13"/>
  <c r="B334" i="13"/>
  <c r="A334" i="13"/>
  <c r="D333" i="13"/>
  <c r="C333" i="13"/>
  <c r="B333" i="13"/>
  <c r="A333" i="13"/>
  <c r="D332" i="13"/>
  <c r="C332" i="13"/>
  <c r="B332" i="13"/>
  <c r="A332" i="13"/>
  <c r="D331" i="13"/>
  <c r="C331" i="13"/>
  <c r="B331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D303" i="13"/>
  <c r="C303" i="13"/>
  <c r="B303" i="13"/>
  <c r="A303" i="13"/>
  <c r="D302" i="13"/>
  <c r="C302" i="13"/>
  <c r="B302" i="13"/>
  <c r="A302" i="13"/>
  <c r="D301" i="13"/>
  <c r="C301" i="13"/>
  <c r="B301" i="13"/>
  <c r="A301" i="13"/>
  <c r="D300" i="13"/>
  <c r="C300" i="13"/>
  <c r="B300" i="13"/>
  <c r="A300" i="13"/>
  <c r="D299" i="13"/>
  <c r="C299" i="13"/>
  <c r="B299" i="13"/>
  <c r="A299" i="13"/>
  <c r="D298" i="13"/>
  <c r="C298" i="13"/>
  <c r="B298" i="13"/>
  <c r="A298" i="13"/>
  <c r="D297" i="13"/>
  <c r="C297" i="13"/>
  <c r="B297" i="13"/>
  <c r="A297" i="13"/>
  <c r="D296" i="13"/>
  <c r="C296" i="13"/>
  <c r="B296" i="13"/>
  <c r="A296" i="13"/>
  <c r="D295" i="13"/>
  <c r="C295" i="13"/>
  <c r="B295" i="13"/>
  <c r="A295" i="13"/>
  <c r="D294" i="13"/>
  <c r="C294" i="13"/>
  <c r="B294" i="13"/>
  <c r="A294" i="13"/>
  <c r="D293" i="13"/>
  <c r="C293" i="13"/>
  <c r="B293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D197" i="13"/>
  <c r="C197" i="13"/>
  <c r="B197" i="13"/>
  <c r="A197" i="13"/>
  <c r="D196" i="13"/>
  <c r="C196" i="13"/>
  <c r="B196" i="13"/>
  <c r="A196" i="13"/>
  <c r="D195" i="13"/>
  <c r="C195" i="13"/>
  <c r="B195" i="13"/>
  <c r="A195" i="13"/>
  <c r="D194" i="13"/>
  <c r="C194" i="13"/>
  <c r="B194" i="13"/>
  <c r="A194" i="13"/>
  <c r="D193" i="13"/>
  <c r="C193" i="13"/>
  <c r="B193" i="13"/>
  <c r="A193" i="13"/>
  <c r="D192" i="13"/>
  <c r="C192" i="13"/>
  <c r="B192" i="13"/>
  <c r="A192" i="13"/>
  <c r="D191" i="13"/>
  <c r="C191" i="13"/>
  <c r="B191" i="13"/>
  <c r="A191" i="13"/>
  <c r="D190" i="13"/>
  <c r="C190" i="13"/>
  <c r="B190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D112" i="13"/>
  <c r="C112" i="13"/>
  <c r="B112" i="13"/>
  <c r="A112" i="13"/>
  <c r="D111" i="13"/>
  <c r="C111" i="13"/>
  <c r="B111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D3" i="13"/>
  <c r="C3" i="13"/>
  <c r="B3" i="13"/>
  <c r="A3" i="13"/>
  <c r="D353" i="12" l="1"/>
  <c r="C353" i="12"/>
  <c r="B353" i="12"/>
  <c r="A353" i="12"/>
  <c r="D352" i="12"/>
  <c r="C352" i="12"/>
  <c r="B352" i="12"/>
  <c r="A352" i="12"/>
  <c r="D351" i="12"/>
  <c r="C351" i="12"/>
  <c r="B351" i="12"/>
  <c r="A351" i="12"/>
  <c r="D350" i="12"/>
  <c r="C350" i="12"/>
  <c r="B350" i="12"/>
  <c r="A350" i="12"/>
  <c r="D349" i="12"/>
  <c r="C349" i="12"/>
  <c r="B349" i="12"/>
  <c r="A349" i="12"/>
  <c r="D348" i="12"/>
  <c r="C348" i="12"/>
  <c r="B348" i="12"/>
  <c r="A348" i="12"/>
  <c r="D347" i="12"/>
  <c r="C347" i="12"/>
  <c r="B347" i="12"/>
  <c r="A347" i="12"/>
  <c r="D346" i="12"/>
  <c r="C346" i="12"/>
  <c r="B346" i="12"/>
  <c r="A346" i="12"/>
  <c r="D345" i="12"/>
  <c r="C345" i="12"/>
  <c r="B345" i="12"/>
  <c r="A345" i="12"/>
  <c r="D344" i="12"/>
  <c r="C344" i="12"/>
  <c r="B344" i="12"/>
  <c r="A344" i="12"/>
  <c r="D343" i="12"/>
  <c r="C343" i="12"/>
  <c r="B343" i="12"/>
  <c r="A343" i="12"/>
  <c r="D342" i="12"/>
  <c r="C342" i="12"/>
  <c r="B342" i="12"/>
  <c r="A342" i="12"/>
  <c r="D341" i="12"/>
  <c r="C341" i="12"/>
  <c r="B341" i="12"/>
  <c r="A341" i="12"/>
  <c r="D340" i="12"/>
  <c r="C340" i="12"/>
  <c r="B340" i="12"/>
  <c r="A340" i="12"/>
  <c r="D339" i="12"/>
  <c r="C339" i="12"/>
  <c r="B339" i="12"/>
  <c r="A339" i="12"/>
  <c r="D338" i="12"/>
  <c r="C338" i="12"/>
  <c r="B338" i="12"/>
  <c r="A338" i="12"/>
  <c r="D337" i="12"/>
  <c r="C337" i="12"/>
  <c r="B337" i="12"/>
  <c r="A337" i="12"/>
  <c r="D336" i="12"/>
  <c r="C336" i="12"/>
  <c r="B336" i="12"/>
  <c r="A336" i="12"/>
  <c r="D335" i="12"/>
  <c r="C335" i="12"/>
  <c r="B335" i="12"/>
  <c r="A335" i="12"/>
  <c r="D334" i="12"/>
  <c r="C334" i="12"/>
  <c r="B334" i="12"/>
  <c r="A334" i="12"/>
  <c r="D333" i="12"/>
  <c r="C333" i="12"/>
  <c r="B333" i="12"/>
  <c r="A333" i="12"/>
  <c r="D332" i="12"/>
  <c r="C332" i="12"/>
  <c r="B332" i="12"/>
  <c r="A332" i="12"/>
  <c r="D331" i="12"/>
  <c r="C331" i="12"/>
  <c r="B331" i="12"/>
  <c r="A331" i="12"/>
  <c r="D330" i="12"/>
  <c r="C330" i="12"/>
  <c r="B330" i="12"/>
  <c r="A330" i="12"/>
  <c r="D329" i="12"/>
  <c r="C329" i="12"/>
  <c r="B329" i="12"/>
  <c r="A329" i="12"/>
  <c r="A328" i="12"/>
  <c r="A327" i="12"/>
  <c r="A326" i="12"/>
  <c r="A325" i="12"/>
  <c r="A324" i="12"/>
  <c r="A323" i="12"/>
  <c r="A322" i="12"/>
  <c r="A321" i="12"/>
  <c r="A320" i="12"/>
  <c r="A319" i="12"/>
  <c r="A318" i="12"/>
  <c r="A317" i="12"/>
  <c r="A316" i="12"/>
  <c r="A315" i="12"/>
  <c r="A314" i="12"/>
  <c r="A313" i="12"/>
  <c r="A312" i="12"/>
  <c r="A311" i="12"/>
  <c r="A310" i="12"/>
  <c r="A309" i="12"/>
  <c r="A308" i="12"/>
  <c r="A307" i="12"/>
  <c r="A306" i="12"/>
  <c r="A305" i="12"/>
  <c r="A304" i="12"/>
  <c r="A303" i="12"/>
  <c r="A302" i="12"/>
  <c r="D301" i="12"/>
  <c r="C301" i="12"/>
  <c r="B301" i="12"/>
  <c r="A301" i="12"/>
  <c r="D300" i="12"/>
  <c r="C300" i="12"/>
  <c r="B300" i="12"/>
  <c r="A300" i="12"/>
  <c r="D299" i="12"/>
  <c r="C299" i="12"/>
  <c r="B299" i="12"/>
  <c r="A299" i="12"/>
  <c r="D298" i="12"/>
  <c r="C298" i="12"/>
  <c r="B298" i="12"/>
  <c r="A298" i="12"/>
  <c r="D297" i="12"/>
  <c r="C297" i="12"/>
  <c r="B297" i="12"/>
  <c r="A297" i="12"/>
  <c r="D296" i="12"/>
  <c r="C296" i="12"/>
  <c r="B296" i="12"/>
  <c r="A296" i="12"/>
  <c r="D295" i="12"/>
  <c r="C295" i="12"/>
  <c r="B295" i="12"/>
  <c r="A295" i="12"/>
  <c r="D294" i="12"/>
  <c r="C294" i="12"/>
  <c r="B294" i="12"/>
  <c r="A294" i="12"/>
  <c r="D293" i="12"/>
  <c r="C293" i="12"/>
  <c r="B293" i="12"/>
  <c r="A293" i="12"/>
  <c r="D292" i="12"/>
  <c r="C292" i="12"/>
  <c r="B292" i="12"/>
  <c r="A292" i="12"/>
  <c r="D291" i="12"/>
  <c r="C291" i="12"/>
  <c r="B291" i="12"/>
  <c r="A291" i="12"/>
  <c r="A290" i="12"/>
  <c r="A289" i="12"/>
  <c r="A288" i="12"/>
  <c r="A287" i="12"/>
  <c r="A286" i="12"/>
  <c r="A285" i="12"/>
  <c r="A284" i="12"/>
  <c r="A283" i="12"/>
  <c r="A282" i="12"/>
  <c r="A281" i="12"/>
  <c r="A280" i="12"/>
  <c r="A279" i="12"/>
  <c r="A278" i="12"/>
  <c r="A277" i="12"/>
  <c r="A276" i="12"/>
  <c r="A275" i="12"/>
  <c r="A274" i="12"/>
  <c r="A273" i="12"/>
  <c r="A272" i="12"/>
  <c r="A271" i="12"/>
  <c r="A270" i="12"/>
  <c r="A269" i="12"/>
  <c r="A268" i="12"/>
  <c r="A267" i="12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D199" i="12"/>
  <c r="C199" i="12"/>
  <c r="B199" i="12"/>
  <c r="A199" i="12"/>
  <c r="D198" i="12"/>
  <c r="C198" i="12"/>
  <c r="B198" i="12"/>
  <c r="A198" i="12"/>
  <c r="D197" i="12"/>
  <c r="C197" i="12"/>
  <c r="B197" i="12"/>
  <c r="A197" i="12"/>
  <c r="D196" i="12"/>
  <c r="C196" i="12"/>
  <c r="B196" i="12"/>
  <c r="A196" i="12"/>
  <c r="D195" i="12"/>
  <c r="C195" i="12"/>
  <c r="B195" i="12"/>
  <c r="A195" i="12"/>
  <c r="D194" i="12"/>
  <c r="C194" i="12"/>
  <c r="B194" i="12"/>
  <c r="A194" i="12"/>
  <c r="D193" i="12"/>
  <c r="C193" i="12"/>
  <c r="B193" i="12"/>
  <c r="A193" i="12"/>
  <c r="D192" i="12"/>
  <c r="C192" i="12"/>
  <c r="B192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D114" i="12"/>
  <c r="C114" i="12"/>
  <c r="B114" i="12"/>
  <c r="A114" i="12"/>
  <c r="D113" i="12"/>
  <c r="C113" i="12"/>
  <c r="B113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D3" i="12"/>
  <c r="C3" i="12"/>
  <c r="B3" i="12"/>
  <c r="A3" i="12"/>
  <c r="D356" i="11" l="1"/>
  <c r="C356" i="11"/>
  <c r="B356" i="11"/>
  <c r="A356" i="11"/>
  <c r="D355" i="11"/>
  <c r="C355" i="11"/>
  <c r="B355" i="11"/>
  <c r="A355" i="11"/>
  <c r="D354" i="11"/>
  <c r="C354" i="11"/>
  <c r="B354" i="11"/>
  <c r="A354" i="11"/>
  <c r="D353" i="11"/>
  <c r="C353" i="11"/>
  <c r="B353" i="11"/>
  <c r="A353" i="11"/>
  <c r="D352" i="11"/>
  <c r="C352" i="11"/>
  <c r="B352" i="11"/>
  <c r="A352" i="11"/>
  <c r="D351" i="11"/>
  <c r="C351" i="11"/>
  <c r="B351" i="11"/>
  <c r="A351" i="11"/>
  <c r="D350" i="11"/>
  <c r="C350" i="11"/>
  <c r="B350" i="11"/>
  <c r="A350" i="11"/>
  <c r="D349" i="11"/>
  <c r="C349" i="11"/>
  <c r="B349" i="11"/>
  <c r="A349" i="11"/>
  <c r="D348" i="11"/>
  <c r="C348" i="11"/>
  <c r="B348" i="11"/>
  <c r="A348" i="11"/>
  <c r="D347" i="11"/>
  <c r="C347" i="11"/>
  <c r="B347" i="11"/>
  <c r="A347" i="11"/>
  <c r="D346" i="11"/>
  <c r="C346" i="11"/>
  <c r="B346" i="11"/>
  <c r="A346" i="11"/>
  <c r="D345" i="11"/>
  <c r="C345" i="11"/>
  <c r="B345" i="11"/>
  <c r="A345" i="11"/>
  <c r="D344" i="11"/>
  <c r="C344" i="11"/>
  <c r="B344" i="11"/>
  <c r="A344" i="11"/>
  <c r="D343" i="11"/>
  <c r="C343" i="11"/>
  <c r="B343" i="11"/>
  <c r="A343" i="11"/>
  <c r="D342" i="11"/>
  <c r="C342" i="11"/>
  <c r="B342" i="11"/>
  <c r="A342" i="11"/>
  <c r="D341" i="11"/>
  <c r="C341" i="11"/>
  <c r="B341" i="11"/>
  <c r="A341" i="11"/>
  <c r="D340" i="11"/>
  <c r="C340" i="11"/>
  <c r="B340" i="11"/>
  <c r="A340" i="11"/>
  <c r="D339" i="11"/>
  <c r="C339" i="11"/>
  <c r="B339" i="11"/>
  <c r="A339" i="11"/>
  <c r="D338" i="11"/>
  <c r="C338" i="11"/>
  <c r="B338" i="11"/>
  <c r="A338" i="11"/>
  <c r="D337" i="11"/>
  <c r="C337" i="11"/>
  <c r="B337" i="11"/>
  <c r="A337" i="11"/>
  <c r="D336" i="11"/>
  <c r="C336" i="11"/>
  <c r="B336" i="11"/>
  <c r="A336" i="11"/>
  <c r="D335" i="11"/>
  <c r="C335" i="11"/>
  <c r="B335" i="11"/>
  <c r="A335" i="11"/>
  <c r="D334" i="11"/>
  <c r="C334" i="11"/>
  <c r="B334" i="11"/>
  <c r="A334" i="11"/>
  <c r="D333" i="11"/>
  <c r="C333" i="11"/>
  <c r="B333" i="11"/>
  <c r="A333" i="11"/>
  <c r="D332" i="11"/>
  <c r="C332" i="11"/>
  <c r="B332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D304" i="11"/>
  <c r="C304" i="11"/>
  <c r="B304" i="11"/>
  <c r="A304" i="11"/>
  <c r="D303" i="11"/>
  <c r="C303" i="11"/>
  <c r="B303" i="11"/>
  <c r="A303" i="11"/>
  <c r="D302" i="11"/>
  <c r="C302" i="11"/>
  <c r="B302" i="11"/>
  <c r="A302" i="11"/>
  <c r="D301" i="11"/>
  <c r="C301" i="11"/>
  <c r="B301" i="11"/>
  <c r="A301" i="11"/>
  <c r="D300" i="11"/>
  <c r="C300" i="11"/>
  <c r="B300" i="11"/>
  <c r="A300" i="11"/>
  <c r="D299" i="11"/>
  <c r="C299" i="11"/>
  <c r="B299" i="11"/>
  <c r="A299" i="11"/>
  <c r="D298" i="11"/>
  <c r="C298" i="11"/>
  <c r="B298" i="11"/>
  <c r="A298" i="11"/>
  <c r="D297" i="11"/>
  <c r="C297" i="11"/>
  <c r="B297" i="11"/>
  <c r="A297" i="11"/>
  <c r="D296" i="11"/>
  <c r="C296" i="11"/>
  <c r="B296" i="11"/>
  <c r="A296" i="11"/>
  <c r="D295" i="11"/>
  <c r="C295" i="11"/>
  <c r="B295" i="11"/>
  <c r="A295" i="11"/>
  <c r="D294" i="11"/>
  <c r="C294" i="11"/>
  <c r="B294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D203" i="11"/>
  <c r="C203" i="11"/>
  <c r="B203" i="11"/>
  <c r="A203" i="11"/>
  <c r="D202" i="11"/>
  <c r="C202" i="11"/>
  <c r="B202" i="11"/>
  <c r="A202" i="11"/>
  <c r="D201" i="11"/>
  <c r="C201" i="11"/>
  <c r="B201" i="11"/>
  <c r="A201" i="11"/>
  <c r="D200" i="11"/>
  <c r="C200" i="11"/>
  <c r="B200" i="11"/>
  <c r="A200" i="11"/>
  <c r="D199" i="11"/>
  <c r="C199" i="11"/>
  <c r="B199" i="11"/>
  <c r="A199" i="11"/>
  <c r="D198" i="11"/>
  <c r="C198" i="11"/>
  <c r="B198" i="11"/>
  <c r="A198" i="11"/>
  <c r="D197" i="11"/>
  <c r="C197" i="11"/>
  <c r="B197" i="11"/>
  <c r="A197" i="11"/>
  <c r="D196" i="11"/>
  <c r="C196" i="11"/>
  <c r="B196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D116" i="11"/>
  <c r="C116" i="11"/>
  <c r="B116" i="11"/>
  <c r="A116" i="11"/>
  <c r="D115" i="11"/>
  <c r="C115" i="11"/>
  <c r="B115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D3" i="11"/>
  <c r="C3" i="11"/>
  <c r="B3" i="11"/>
  <c r="A3" i="11"/>
  <c r="D347" i="10" l="1"/>
  <c r="C347" i="10"/>
  <c r="B347" i="10"/>
  <c r="A347" i="10"/>
  <c r="D346" i="10"/>
  <c r="C346" i="10"/>
  <c r="B346" i="10"/>
  <c r="A346" i="10"/>
  <c r="D345" i="10"/>
  <c r="C345" i="10"/>
  <c r="B345" i="10"/>
  <c r="A345" i="10"/>
  <c r="D344" i="10"/>
  <c r="C344" i="10"/>
  <c r="B344" i="10"/>
  <c r="A344" i="10"/>
  <c r="D343" i="10"/>
  <c r="C343" i="10"/>
  <c r="B343" i="10"/>
  <c r="A343" i="10"/>
  <c r="D342" i="10"/>
  <c r="C342" i="10"/>
  <c r="B342" i="10"/>
  <c r="A342" i="10"/>
  <c r="D341" i="10"/>
  <c r="C341" i="10"/>
  <c r="B341" i="10"/>
  <c r="A341" i="10"/>
  <c r="D340" i="10"/>
  <c r="C340" i="10"/>
  <c r="B340" i="10"/>
  <c r="A340" i="10"/>
  <c r="D339" i="10"/>
  <c r="C339" i="10"/>
  <c r="B339" i="10"/>
  <c r="A339" i="10"/>
  <c r="D338" i="10"/>
  <c r="C338" i="10"/>
  <c r="B338" i="10"/>
  <c r="A338" i="10"/>
  <c r="D337" i="10"/>
  <c r="C337" i="10"/>
  <c r="B337" i="10"/>
  <c r="A337" i="10"/>
  <c r="D336" i="10"/>
  <c r="C336" i="10"/>
  <c r="B336" i="10"/>
  <c r="A336" i="10"/>
  <c r="D335" i="10"/>
  <c r="C335" i="10"/>
  <c r="B335" i="10"/>
  <c r="A335" i="10"/>
  <c r="D334" i="10"/>
  <c r="C334" i="10"/>
  <c r="B334" i="10"/>
  <c r="A334" i="10"/>
  <c r="D333" i="10"/>
  <c r="C333" i="10"/>
  <c r="B333" i="10"/>
  <c r="A333" i="10"/>
  <c r="D332" i="10"/>
  <c r="C332" i="10"/>
  <c r="B332" i="10"/>
  <c r="A332" i="10"/>
  <c r="D331" i="10"/>
  <c r="C331" i="10"/>
  <c r="B331" i="10"/>
  <c r="A331" i="10"/>
  <c r="D330" i="10"/>
  <c r="C330" i="10"/>
  <c r="B330" i="10"/>
  <c r="A330" i="10"/>
  <c r="D329" i="10"/>
  <c r="C329" i="10"/>
  <c r="B329" i="10"/>
  <c r="A329" i="10"/>
  <c r="D328" i="10"/>
  <c r="C328" i="10"/>
  <c r="B328" i="10"/>
  <c r="A328" i="10"/>
  <c r="D327" i="10"/>
  <c r="C327" i="10"/>
  <c r="B327" i="10"/>
  <c r="A327" i="10"/>
  <c r="D326" i="10"/>
  <c r="C326" i="10"/>
  <c r="B326" i="10"/>
  <c r="A326" i="10"/>
  <c r="D325" i="10"/>
  <c r="C325" i="10"/>
  <c r="B325" i="10"/>
  <c r="A325" i="10"/>
  <c r="D324" i="10"/>
  <c r="C324" i="10"/>
  <c r="B324" i="10"/>
  <c r="A324" i="10"/>
  <c r="D323" i="10"/>
  <c r="C323" i="10"/>
  <c r="B323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D295" i="10"/>
  <c r="C295" i="10"/>
  <c r="B295" i="10"/>
  <c r="A295" i="10"/>
  <c r="D294" i="10"/>
  <c r="C294" i="10"/>
  <c r="B294" i="10"/>
  <c r="A294" i="10"/>
  <c r="D293" i="10"/>
  <c r="C293" i="10"/>
  <c r="B293" i="10"/>
  <c r="A293" i="10"/>
  <c r="D292" i="10"/>
  <c r="C292" i="10"/>
  <c r="B292" i="10"/>
  <c r="A292" i="10"/>
  <c r="D291" i="10"/>
  <c r="C291" i="10"/>
  <c r="B291" i="10"/>
  <c r="A291" i="10"/>
  <c r="D290" i="10"/>
  <c r="C290" i="10"/>
  <c r="B290" i="10"/>
  <c r="A290" i="10"/>
  <c r="D289" i="10"/>
  <c r="C289" i="10"/>
  <c r="B289" i="10"/>
  <c r="A289" i="10"/>
  <c r="D288" i="10"/>
  <c r="C288" i="10"/>
  <c r="B288" i="10"/>
  <c r="A288" i="10"/>
  <c r="D287" i="10"/>
  <c r="C287" i="10"/>
  <c r="B287" i="10"/>
  <c r="A287" i="10"/>
  <c r="D286" i="10"/>
  <c r="C286" i="10"/>
  <c r="B286" i="10"/>
  <c r="A286" i="10"/>
  <c r="D285" i="10"/>
  <c r="C285" i="10"/>
  <c r="B285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D197" i="10"/>
  <c r="C197" i="10"/>
  <c r="B197" i="10"/>
  <c r="A197" i="10"/>
  <c r="D196" i="10"/>
  <c r="C196" i="10"/>
  <c r="B196" i="10"/>
  <c r="A196" i="10"/>
  <c r="D195" i="10"/>
  <c r="C195" i="10"/>
  <c r="B195" i="10"/>
  <c r="A195" i="10"/>
  <c r="D194" i="10"/>
  <c r="C194" i="10"/>
  <c r="B194" i="10"/>
  <c r="A194" i="10"/>
  <c r="D193" i="10"/>
  <c r="C193" i="10"/>
  <c r="B193" i="10"/>
  <c r="A193" i="10"/>
  <c r="D192" i="10"/>
  <c r="C192" i="10"/>
  <c r="B192" i="10"/>
  <c r="A192" i="10"/>
  <c r="D191" i="10"/>
  <c r="C191" i="10"/>
  <c r="B191" i="10"/>
  <c r="A191" i="10"/>
  <c r="D190" i="10"/>
  <c r="C190" i="10"/>
  <c r="B190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D113" i="10"/>
  <c r="C113" i="10"/>
  <c r="B113" i="10"/>
  <c r="A113" i="10"/>
  <c r="D112" i="10"/>
  <c r="C112" i="10"/>
  <c r="B112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D3" i="10"/>
  <c r="C3" i="10"/>
  <c r="B3" i="10"/>
  <c r="A3" i="10"/>
  <c r="D349" i="8" l="1"/>
  <c r="C349" i="8"/>
  <c r="B349" i="8"/>
  <c r="A349" i="8"/>
  <c r="D348" i="8"/>
  <c r="C348" i="8"/>
  <c r="B348" i="8"/>
  <c r="A348" i="8"/>
  <c r="D347" i="8"/>
  <c r="C347" i="8"/>
  <c r="B347" i="8"/>
  <c r="A347" i="8"/>
  <c r="D346" i="8"/>
  <c r="C346" i="8"/>
  <c r="B346" i="8"/>
  <c r="A346" i="8"/>
  <c r="D345" i="8"/>
  <c r="C345" i="8"/>
  <c r="B345" i="8"/>
  <c r="A345" i="8"/>
  <c r="D344" i="8"/>
  <c r="C344" i="8"/>
  <c r="B344" i="8"/>
  <c r="A344" i="8"/>
  <c r="D343" i="8"/>
  <c r="C343" i="8"/>
  <c r="B343" i="8"/>
  <c r="A343" i="8"/>
  <c r="D342" i="8"/>
  <c r="C342" i="8"/>
  <c r="B342" i="8"/>
  <c r="A342" i="8"/>
  <c r="D341" i="8"/>
  <c r="C341" i="8"/>
  <c r="B341" i="8"/>
  <c r="A341" i="8"/>
  <c r="D340" i="8"/>
  <c r="C340" i="8"/>
  <c r="B340" i="8"/>
  <c r="A340" i="8"/>
  <c r="D339" i="8"/>
  <c r="C339" i="8"/>
  <c r="B339" i="8"/>
  <c r="A339" i="8"/>
  <c r="D338" i="8"/>
  <c r="C338" i="8"/>
  <c r="B338" i="8"/>
  <c r="A338" i="8"/>
  <c r="D337" i="8"/>
  <c r="C337" i="8"/>
  <c r="B337" i="8"/>
  <c r="A337" i="8"/>
  <c r="D336" i="8"/>
  <c r="C336" i="8"/>
  <c r="B336" i="8"/>
  <c r="A336" i="8"/>
  <c r="D335" i="8"/>
  <c r="C335" i="8"/>
  <c r="B335" i="8"/>
  <c r="A335" i="8"/>
  <c r="D334" i="8"/>
  <c r="C334" i="8"/>
  <c r="B334" i="8"/>
  <c r="A334" i="8"/>
  <c r="D333" i="8"/>
  <c r="C333" i="8"/>
  <c r="B333" i="8"/>
  <c r="A333" i="8"/>
  <c r="D332" i="8"/>
  <c r="C332" i="8"/>
  <c r="B332" i="8"/>
  <c r="A332" i="8"/>
  <c r="D331" i="8"/>
  <c r="C331" i="8"/>
  <c r="B331" i="8"/>
  <c r="A331" i="8"/>
  <c r="D330" i="8"/>
  <c r="C330" i="8"/>
  <c r="B330" i="8"/>
  <c r="A330" i="8"/>
  <c r="D329" i="8"/>
  <c r="C329" i="8"/>
  <c r="B329" i="8"/>
  <c r="A329" i="8"/>
  <c r="D328" i="8"/>
  <c r="C328" i="8"/>
  <c r="B328" i="8"/>
  <c r="A328" i="8"/>
  <c r="D327" i="8"/>
  <c r="C327" i="8"/>
  <c r="B327" i="8"/>
  <c r="A327" i="8"/>
  <c r="D326" i="8"/>
  <c r="C326" i="8"/>
  <c r="B326" i="8"/>
  <c r="A326" i="8"/>
  <c r="D325" i="8"/>
  <c r="C325" i="8"/>
  <c r="B325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D298" i="8"/>
  <c r="C298" i="8"/>
  <c r="B298" i="8"/>
  <c r="A298" i="8"/>
  <c r="D297" i="8"/>
  <c r="C297" i="8"/>
  <c r="B297" i="8"/>
  <c r="A297" i="8"/>
  <c r="D296" i="8"/>
  <c r="C296" i="8"/>
  <c r="B296" i="8"/>
  <c r="A296" i="8"/>
  <c r="D295" i="8"/>
  <c r="C295" i="8"/>
  <c r="B295" i="8"/>
  <c r="A295" i="8"/>
  <c r="D294" i="8"/>
  <c r="C294" i="8"/>
  <c r="B294" i="8"/>
  <c r="A294" i="8"/>
  <c r="D293" i="8"/>
  <c r="C293" i="8"/>
  <c r="B293" i="8"/>
  <c r="A293" i="8"/>
  <c r="D292" i="8"/>
  <c r="C292" i="8"/>
  <c r="B292" i="8"/>
  <c r="A292" i="8"/>
  <c r="D291" i="8"/>
  <c r="C291" i="8"/>
  <c r="B291" i="8"/>
  <c r="A291" i="8"/>
  <c r="D290" i="8"/>
  <c r="C290" i="8"/>
  <c r="B290" i="8"/>
  <c r="A290" i="8"/>
  <c r="D289" i="8"/>
  <c r="C289" i="8"/>
  <c r="B289" i="8"/>
  <c r="A289" i="8"/>
  <c r="D288" i="8"/>
  <c r="C288" i="8"/>
  <c r="B288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D201" i="8"/>
  <c r="C201" i="8"/>
  <c r="B201" i="8"/>
  <c r="A201" i="8"/>
  <c r="D200" i="8"/>
  <c r="C200" i="8"/>
  <c r="B200" i="8"/>
  <c r="A200" i="8"/>
  <c r="D199" i="8"/>
  <c r="C199" i="8"/>
  <c r="B199" i="8"/>
  <c r="A199" i="8"/>
  <c r="D198" i="8"/>
  <c r="C198" i="8"/>
  <c r="B198" i="8"/>
  <c r="A198" i="8"/>
  <c r="D197" i="8"/>
  <c r="C197" i="8"/>
  <c r="B197" i="8"/>
  <c r="A197" i="8"/>
  <c r="D196" i="8"/>
  <c r="C196" i="8"/>
  <c r="B196" i="8"/>
  <c r="A196" i="8"/>
  <c r="D195" i="8"/>
  <c r="C195" i="8"/>
  <c r="B195" i="8"/>
  <c r="A195" i="8"/>
  <c r="D194" i="8"/>
  <c r="C194" i="8"/>
  <c r="B194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D117" i="8"/>
  <c r="C117" i="8"/>
  <c r="B117" i="8"/>
  <c r="A117" i="8"/>
  <c r="D116" i="8"/>
  <c r="C116" i="8"/>
  <c r="B116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D3" i="8"/>
  <c r="C3" i="8"/>
  <c r="B3" i="8"/>
  <c r="A3" i="8"/>
  <c r="D348" i="7" l="1"/>
  <c r="C348" i="7"/>
  <c r="B348" i="7"/>
  <c r="A348" i="7"/>
  <c r="D347" i="7"/>
  <c r="C347" i="7"/>
  <c r="B347" i="7"/>
  <c r="A347" i="7"/>
  <c r="D346" i="7"/>
  <c r="C346" i="7"/>
  <c r="B346" i="7"/>
  <c r="A346" i="7"/>
  <c r="D345" i="7"/>
  <c r="C345" i="7"/>
  <c r="B345" i="7"/>
  <c r="A345" i="7"/>
  <c r="D344" i="7"/>
  <c r="C344" i="7"/>
  <c r="B344" i="7"/>
  <c r="A344" i="7"/>
  <c r="D343" i="7"/>
  <c r="C343" i="7"/>
  <c r="B343" i="7"/>
  <c r="A343" i="7"/>
  <c r="D342" i="7"/>
  <c r="C342" i="7"/>
  <c r="B342" i="7"/>
  <c r="A342" i="7"/>
  <c r="D341" i="7"/>
  <c r="C341" i="7"/>
  <c r="B341" i="7"/>
  <c r="A341" i="7"/>
  <c r="D340" i="7"/>
  <c r="C340" i="7"/>
  <c r="B340" i="7"/>
  <c r="A340" i="7"/>
  <c r="D339" i="7"/>
  <c r="C339" i="7"/>
  <c r="B339" i="7"/>
  <c r="A339" i="7"/>
  <c r="D338" i="7"/>
  <c r="C338" i="7"/>
  <c r="B338" i="7"/>
  <c r="A338" i="7"/>
  <c r="D337" i="7"/>
  <c r="C337" i="7"/>
  <c r="B337" i="7"/>
  <c r="A337" i="7"/>
  <c r="D336" i="7"/>
  <c r="C336" i="7"/>
  <c r="B336" i="7"/>
  <c r="A336" i="7"/>
  <c r="D335" i="7"/>
  <c r="C335" i="7"/>
  <c r="B335" i="7"/>
  <c r="A335" i="7"/>
  <c r="D334" i="7"/>
  <c r="C334" i="7"/>
  <c r="B334" i="7"/>
  <c r="A334" i="7"/>
  <c r="D333" i="7"/>
  <c r="C333" i="7"/>
  <c r="B333" i="7"/>
  <c r="A333" i="7"/>
  <c r="D332" i="7"/>
  <c r="C332" i="7"/>
  <c r="B332" i="7"/>
  <c r="A332" i="7"/>
  <c r="D331" i="7"/>
  <c r="C331" i="7"/>
  <c r="B331" i="7"/>
  <c r="A331" i="7"/>
  <c r="D330" i="7"/>
  <c r="C330" i="7"/>
  <c r="B330" i="7"/>
  <c r="A330" i="7"/>
  <c r="D329" i="7"/>
  <c r="C329" i="7"/>
  <c r="B329" i="7"/>
  <c r="A329" i="7"/>
  <c r="D328" i="7"/>
  <c r="C328" i="7"/>
  <c r="B328" i="7"/>
  <c r="A328" i="7"/>
  <c r="D327" i="7"/>
  <c r="C327" i="7"/>
  <c r="B327" i="7"/>
  <c r="A327" i="7"/>
  <c r="D326" i="7"/>
  <c r="C326" i="7"/>
  <c r="B326" i="7"/>
  <c r="A326" i="7"/>
  <c r="D325" i="7"/>
  <c r="C325" i="7"/>
  <c r="B325" i="7"/>
  <c r="A325" i="7"/>
  <c r="D324" i="7"/>
  <c r="C324" i="7"/>
  <c r="B324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D297" i="7"/>
  <c r="C297" i="7"/>
  <c r="B297" i="7"/>
  <c r="A297" i="7"/>
  <c r="D296" i="7"/>
  <c r="C296" i="7"/>
  <c r="B296" i="7"/>
  <c r="A296" i="7"/>
  <c r="D295" i="7"/>
  <c r="C295" i="7"/>
  <c r="B295" i="7"/>
  <c r="A295" i="7"/>
  <c r="D294" i="7"/>
  <c r="C294" i="7"/>
  <c r="B294" i="7"/>
  <c r="A294" i="7"/>
  <c r="D293" i="7"/>
  <c r="C293" i="7"/>
  <c r="B293" i="7"/>
  <c r="A293" i="7"/>
  <c r="D292" i="7"/>
  <c r="C292" i="7"/>
  <c r="B292" i="7"/>
  <c r="A292" i="7"/>
  <c r="D291" i="7"/>
  <c r="C291" i="7"/>
  <c r="B291" i="7"/>
  <c r="A291" i="7"/>
  <c r="D290" i="7"/>
  <c r="C290" i="7"/>
  <c r="B290" i="7"/>
  <c r="A290" i="7"/>
  <c r="D289" i="7"/>
  <c r="C289" i="7"/>
  <c r="B289" i="7"/>
  <c r="A289" i="7"/>
  <c r="D288" i="7"/>
  <c r="C288" i="7"/>
  <c r="B288" i="7"/>
  <c r="A288" i="7"/>
  <c r="D287" i="7"/>
  <c r="C287" i="7"/>
  <c r="B287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D202" i="7"/>
  <c r="C202" i="7"/>
  <c r="B202" i="7"/>
  <c r="A202" i="7"/>
  <c r="D201" i="7"/>
  <c r="C201" i="7"/>
  <c r="B201" i="7"/>
  <c r="A201" i="7"/>
  <c r="D200" i="7"/>
  <c r="C200" i="7"/>
  <c r="B200" i="7"/>
  <c r="A200" i="7"/>
  <c r="D199" i="7"/>
  <c r="C199" i="7"/>
  <c r="B199" i="7"/>
  <c r="A199" i="7"/>
  <c r="D198" i="7"/>
  <c r="C198" i="7"/>
  <c r="B198" i="7"/>
  <c r="A198" i="7"/>
  <c r="D197" i="7"/>
  <c r="C197" i="7"/>
  <c r="B197" i="7"/>
  <c r="A197" i="7"/>
  <c r="D196" i="7"/>
  <c r="C196" i="7"/>
  <c r="B196" i="7"/>
  <c r="A196" i="7"/>
  <c r="D195" i="7"/>
  <c r="C195" i="7"/>
  <c r="B195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D119" i="7"/>
  <c r="C119" i="7"/>
  <c r="B119" i="7"/>
  <c r="A119" i="7"/>
  <c r="D118" i="7"/>
  <c r="C118" i="7"/>
  <c r="B118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D3" i="7"/>
  <c r="C3" i="7"/>
  <c r="B3" i="7"/>
  <c r="A3" i="7"/>
  <c r="D346" i="6" l="1"/>
  <c r="C346" i="6"/>
  <c r="B346" i="6"/>
  <c r="A346" i="6"/>
  <c r="D345" i="6"/>
  <c r="C345" i="6"/>
  <c r="B345" i="6"/>
  <c r="A345" i="6"/>
  <c r="D344" i="6"/>
  <c r="C344" i="6"/>
  <c r="B344" i="6"/>
  <c r="A344" i="6"/>
  <c r="D343" i="6"/>
  <c r="C343" i="6"/>
  <c r="B343" i="6"/>
  <c r="A343" i="6"/>
  <c r="D342" i="6"/>
  <c r="C342" i="6"/>
  <c r="B342" i="6"/>
  <c r="A342" i="6"/>
  <c r="D341" i="6"/>
  <c r="C341" i="6"/>
  <c r="B341" i="6"/>
  <c r="A341" i="6"/>
  <c r="D340" i="6"/>
  <c r="C340" i="6"/>
  <c r="B340" i="6"/>
  <c r="A340" i="6"/>
  <c r="D339" i="6"/>
  <c r="C339" i="6"/>
  <c r="B339" i="6"/>
  <c r="A339" i="6"/>
  <c r="D338" i="6"/>
  <c r="C338" i="6"/>
  <c r="B338" i="6"/>
  <c r="A338" i="6"/>
  <c r="D337" i="6"/>
  <c r="C337" i="6"/>
  <c r="B337" i="6"/>
  <c r="A337" i="6"/>
  <c r="D336" i="6"/>
  <c r="C336" i="6"/>
  <c r="B336" i="6"/>
  <c r="A336" i="6"/>
  <c r="D335" i="6"/>
  <c r="C335" i="6"/>
  <c r="B335" i="6"/>
  <c r="A335" i="6"/>
  <c r="D334" i="6"/>
  <c r="C334" i="6"/>
  <c r="B334" i="6"/>
  <c r="A334" i="6"/>
  <c r="D333" i="6"/>
  <c r="C333" i="6"/>
  <c r="B333" i="6"/>
  <c r="A333" i="6"/>
  <c r="D332" i="6"/>
  <c r="C332" i="6"/>
  <c r="B332" i="6"/>
  <c r="A332" i="6"/>
  <c r="D331" i="6"/>
  <c r="C331" i="6"/>
  <c r="B331" i="6"/>
  <c r="A331" i="6"/>
  <c r="D330" i="6"/>
  <c r="C330" i="6"/>
  <c r="B330" i="6"/>
  <c r="A330" i="6"/>
  <c r="D329" i="6"/>
  <c r="C329" i="6"/>
  <c r="B329" i="6"/>
  <c r="A329" i="6"/>
  <c r="D328" i="6"/>
  <c r="C328" i="6"/>
  <c r="B328" i="6"/>
  <c r="A328" i="6"/>
  <c r="D327" i="6"/>
  <c r="C327" i="6"/>
  <c r="B327" i="6"/>
  <c r="A327" i="6"/>
  <c r="D326" i="6"/>
  <c r="C326" i="6"/>
  <c r="B326" i="6"/>
  <c r="A326" i="6"/>
  <c r="D325" i="6"/>
  <c r="C325" i="6"/>
  <c r="B325" i="6"/>
  <c r="A325" i="6"/>
  <c r="D324" i="6"/>
  <c r="C324" i="6"/>
  <c r="B324" i="6"/>
  <c r="A324" i="6"/>
  <c r="D323" i="6"/>
  <c r="C323" i="6"/>
  <c r="B323" i="6"/>
  <c r="A323" i="6"/>
  <c r="D322" i="6"/>
  <c r="C322" i="6"/>
  <c r="B322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D295" i="6"/>
  <c r="C295" i="6"/>
  <c r="B295" i="6"/>
  <c r="A295" i="6"/>
  <c r="D294" i="6"/>
  <c r="C294" i="6"/>
  <c r="B294" i="6"/>
  <c r="A294" i="6"/>
  <c r="D293" i="6"/>
  <c r="C293" i="6"/>
  <c r="B293" i="6"/>
  <c r="A293" i="6"/>
  <c r="D292" i="6"/>
  <c r="C292" i="6"/>
  <c r="B292" i="6"/>
  <c r="A292" i="6"/>
  <c r="D291" i="6"/>
  <c r="C291" i="6"/>
  <c r="B291" i="6"/>
  <c r="A291" i="6"/>
  <c r="D290" i="6"/>
  <c r="C290" i="6"/>
  <c r="B290" i="6"/>
  <c r="A290" i="6"/>
  <c r="D289" i="6"/>
  <c r="C289" i="6"/>
  <c r="B289" i="6"/>
  <c r="A289" i="6"/>
  <c r="D288" i="6"/>
  <c r="C288" i="6"/>
  <c r="B288" i="6"/>
  <c r="A288" i="6"/>
  <c r="D287" i="6"/>
  <c r="C287" i="6"/>
  <c r="B287" i="6"/>
  <c r="A287" i="6"/>
  <c r="D286" i="6"/>
  <c r="C286" i="6"/>
  <c r="B286" i="6"/>
  <c r="A286" i="6"/>
  <c r="D285" i="6"/>
  <c r="C285" i="6"/>
  <c r="B285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D204" i="6"/>
  <c r="C204" i="6"/>
  <c r="B204" i="6"/>
  <c r="A204" i="6"/>
  <c r="D203" i="6"/>
  <c r="C203" i="6"/>
  <c r="B203" i="6"/>
  <c r="A203" i="6"/>
  <c r="D202" i="6"/>
  <c r="C202" i="6"/>
  <c r="B202" i="6"/>
  <c r="A202" i="6"/>
  <c r="D201" i="6"/>
  <c r="C201" i="6"/>
  <c r="B201" i="6"/>
  <c r="A201" i="6"/>
  <c r="D200" i="6"/>
  <c r="C200" i="6"/>
  <c r="B200" i="6"/>
  <c r="A200" i="6"/>
  <c r="D199" i="6"/>
  <c r="C199" i="6"/>
  <c r="B199" i="6"/>
  <c r="A199" i="6"/>
  <c r="D198" i="6"/>
  <c r="C198" i="6"/>
  <c r="B198" i="6"/>
  <c r="A198" i="6"/>
  <c r="D197" i="6"/>
  <c r="C197" i="6"/>
  <c r="B197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D120" i="6"/>
  <c r="C120" i="6"/>
  <c r="B120" i="6"/>
  <c r="A120" i="6"/>
  <c r="D119" i="6"/>
  <c r="C119" i="6"/>
  <c r="B119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D3" i="6"/>
  <c r="C3" i="6"/>
  <c r="B3" i="6"/>
  <c r="A3" i="6"/>
  <c r="D345" i="5" l="1"/>
  <c r="C345" i="5"/>
  <c r="B345" i="5"/>
  <c r="A345" i="5"/>
  <c r="D344" i="5"/>
  <c r="C344" i="5"/>
  <c r="B344" i="5"/>
  <c r="A344" i="5"/>
  <c r="D343" i="5"/>
  <c r="C343" i="5"/>
  <c r="B343" i="5"/>
  <c r="A343" i="5"/>
  <c r="D342" i="5"/>
  <c r="C342" i="5"/>
  <c r="B342" i="5"/>
  <c r="A342" i="5"/>
  <c r="D341" i="5"/>
  <c r="C341" i="5"/>
  <c r="B341" i="5"/>
  <c r="A341" i="5"/>
  <c r="D340" i="5"/>
  <c r="C340" i="5"/>
  <c r="B340" i="5"/>
  <c r="A340" i="5"/>
  <c r="D339" i="5"/>
  <c r="C339" i="5"/>
  <c r="B339" i="5"/>
  <c r="A339" i="5"/>
  <c r="D338" i="5"/>
  <c r="C338" i="5"/>
  <c r="B338" i="5"/>
  <c r="A338" i="5"/>
  <c r="D337" i="5"/>
  <c r="C337" i="5"/>
  <c r="B337" i="5"/>
  <c r="A337" i="5"/>
  <c r="D336" i="5"/>
  <c r="C336" i="5"/>
  <c r="B336" i="5"/>
  <c r="A336" i="5"/>
  <c r="D335" i="5"/>
  <c r="C335" i="5"/>
  <c r="B335" i="5"/>
  <c r="A335" i="5"/>
  <c r="D334" i="5"/>
  <c r="C334" i="5"/>
  <c r="B334" i="5"/>
  <c r="A334" i="5"/>
  <c r="D333" i="5"/>
  <c r="C333" i="5"/>
  <c r="B333" i="5"/>
  <c r="A333" i="5"/>
  <c r="D332" i="5"/>
  <c r="C332" i="5"/>
  <c r="B332" i="5"/>
  <c r="A332" i="5"/>
  <c r="D331" i="5"/>
  <c r="C331" i="5"/>
  <c r="B331" i="5"/>
  <c r="A331" i="5"/>
  <c r="D330" i="5"/>
  <c r="C330" i="5"/>
  <c r="B330" i="5"/>
  <c r="A330" i="5"/>
  <c r="D329" i="5"/>
  <c r="C329" i="5"/>
  <c r="B329" i="5"/>
  <c r="A329" i="5"/>
  <c r="D328" i="5"/>
  <c r="C328" i="5"/>
  <c r="B328" i="5"/>
  <c r="A328" i="5"/>
  <c r="D327" i="5"/>
  <c r="C327" i="5"/>
  <c r="B327" i="5"/>
  <c r="A327" i="5"/>
  <c r="D326" i="5"/>
  <c r="C326" i="5"/>
  <c r="B326" i="5"/>
  <c r="A326" i="5"/>
  <c r="D325" i="5"/>
  <c r="C325" i="5"/>
  <c r="B325" i="5"/>
  <c r="A325" i="5"/>
  <c r="D324" i="5"/>
  <c r="C324" i="5"/>
  <c r="B324" i="5"/>
  <c r="A324" i="5"/>
  <c r="D323" i="5"/>
  <c r="C323" i="5"/>
  <c r="B323" i="5"/>
  <c r="A323" i="5"/>
  <c r="D322" i="5"/>
  <c r="C322" i="5"/>
  <c r="B322" i="5"/>
  <c r="A322" i="5"/>
  <c r="D321" i="5"/>
  <c r="C321" i="5"/>
  <c r="B321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D296" i="5"/>
  <c r="C296" i="5"/>
  <c r="B296" i="5"/>
  <c r="A296" i="5"/>
  <c r="D295" i="5"/>
  <c r="C295" i="5"/>
  <c r="B295" i="5"/>
  <c r="A295" i="5"/>
  <c r="D294" i="5"/>
  <c r="C294" i="5"/>
  <c r="B294" i="5"/>
  <c r="A294" i="5"/>
  <c r="D293" i="5"/>
  <c r="C293" i="5"/>
  <c r="B293" i="5"/>
  <c r="A293" i="5"/>
  <c r="D292" i="5"/>
  <c r="C292" i="5"/>
  <c r="B292" i="5"/>
  <c r="A292" i="5"/>
  <c r="D291" i="5"/>
  <c r="C291" i="5"/>
  <c r="B291" i="5"/>
  <c r="A291" i="5"/>
  <c r="D290" i="5"/>
  <c r="C290" i="5"/>
  <c r="B290" i="5"/>
  <c r="A290" i="5"/>
  <c r="D289" i="5"/>
  <c r="C289" i="5"/>
  <c r="B289" i="5"/>
  <c r="A289" i="5"/>
  <c r="D288" i="5"/>
  <c r="C288" i="5"/>
  <c r="B288" i="5"/>
  <c r="A288" i="5"/>
  <c r="D287" i="5"/>
  <c r="C287" i="5"/>
  <c r="B287" i="5"/>
  <c r="A287" i="5"/>
  <c r="D286" i="5"/>
  <c r="C286" i="5"/>
  <c r="B286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D207" i="5"/>
  <c r="C207" i="5"/>
  <c r="B207" i="5"/>
  <c r="A207" i="5"/>
  <c r="D206" i="5"/>
  <c r="C206" i="5"/>
  <c r="B206" i="5"/>
  <c r="A206" i="5"/>
  <c r="D205" i="5"/>
  <c r="C205" i="5"/>
  <c r="B205" i="5"/>
  <c r="A205" i="5"/>
  <c r="D204" i="5"/>
  <c r="C204" i="5"/>
  <c r="B204" i="5"/>
  <c r="A204" i="5"/>
  <c r="D203" i="5"/>
  <c r="C203" i="5"/>
  <c r="B203" i="5"/>
  <c r="A203" i="5"/>
  <c r="D202" i="5"/>
  <c r="C202" i="5"/>
  <c r="B202" i="5"/>
  <c r="A202" i="5"/>
  <c r="D201" i="5"/>
  <c r="C201" i="5"/>
  <c r="B201" i="5"/>
  <c r="A201" i="5"/>
  <c r="D200" i="5"/>
  <c r="C200" i="5"/>
  <c r="B200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D121" i="5"/>
  <c r="C121" i="5"/>
  <c r="B121" i="5"/>
  <c r="A121" i="5"/>
  <c r="D120" i="5"/>
  <c r="C120" i="5"/>
  <c r="B120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D3" i="5"/>
  <c r="C3" i="5"/>
  <c r="B3" i="5"/>
  <c r="A3" i="5"/>
  <c r="D345" i="4" l="1"/>
  <c r="C345" i="4"/>
  <c r="B345" i="4"/>
  <c r="A345" i="4"/>
  <c r="D344" i="4"/>
  <c r="C344" i="4"/>
  <c r="B344" i="4"/>
  <c r="A344" i="4"/>
  <c r="D343" i="4"/>
  <c r="C343" i="4"/>
  <c r="B343" i="4"/>
  <c r="A343" i="4"/>
  <c r="D342" i="4"/>
  <c r="C342" i="4"/>
  <c r="B342" i="4"/>
  <c r="A342" i="4"/>
  <c r="D341" i="4"/>
  <c r="C341" i="4"/>
  <c r="B341" i="4"/>
  <c r="A341" i="4"/>
  <c r="D340" i="4"/>
  <c r="C340" i="4"/>
  <c r="B340" i="4"/>
  <c r="A340" i="4"/>
  <c r="D339" i="4"/>
  <c r="C339" i="4"/>
  <c r="B339" i="4"/>
  <c r="A339" i="4"/>
  <c r="D338" i="4"/>
  <c r="C338" i="4"/>
  <c r="B338" i="4"/>
  <c r="A338" i="4"/>
  <c r="D337" i="4"/>
  <c r="C337" i="4"/>
  <c r="B337" i="4"/>
  <c r="A337" i="4"/>
  <c r="D336" i="4"/>
  <c r="C336" i="4"/>
  <c r="B336" i="4"/>
  <c r="A336" i="4"/>
  <c r="D335" i="4"/>
  <c r="C335" i="4"/>
  <c r="B335" i="4"/>
  <c r="A335" i="4"/>
  <c r="D334" i="4"/>
  <c r="C334" i="4"/>
  <c r="B334" i="4"/>
  <c r="A334" i="4"/>
  <c r="D333" i="4"/>
  <c r="C333" i="4"/>
  <c r="B333" i="4"/>
  <c r="A333" i="4"/>
  <c r="D332" i="4"/>
  <c r="C332" i="4"/>
  <c r="B332" i="4"/>
  <c r="A332" i="4"/>
  <c r="D331" i="4"/>
  <c r="C331" i="4"/>
  <c r="B331" i="4"/>
  <c r="A331" i="4"/>
  <c r="D330" i="4"/>
  <c r="C330" i="4"/>
  <c r="B330" i="4"/>
  <c r="A330" i="4"/>
  <c r="D329" i="4"/>
  <c r="C329" i="4"/>
  <c r="B329" i="4"/>
  <c r="A329" i="4"/>
  <c r="D328" i="4"/>
  <c r="C328" i="4"/>
  <c r="B328" i="4"/>
  <c r="A328" i="4"/>
  <c r="D327" i="4"/>
  <c r="C327" i="4"/>
  <c r="B327" i="4"/>
  <c r="A327" i="4"/>
  <c r="D326" i="4"/>
  <c r="C326" i="4"/>
  <c r="B326" i="4"/>
  <c r="A326" i="4"/>
  <c r="D325" i="4"/>
  <c r="C325" i="4"/>
  <c r="B325" i="4"/>
  <c r="A325" i="4"/>
  <c r="D324" i="4"/>
  <c r="C324" i="4"/>
  <c r="B324" i="4"/>
  <c r="A324" i="4"/>
  <c r="D323" i="4"/>
  <c r="C323" i="4"/>
  <c r="B323" i="4"/>
  <c r="A323" i="4"/>
  <c r="D322" i="4"/>
  <c r="C322" i="4"/>
  <c r="B322" i="4"/>
  <c r="A322" i="4"/>
  <c r="D321" i="4"/>
  <c r="C321" i="4"/>
  <c r="B321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D296" i="4"/>
  <c r="C296" i="4"/>
  <c r="B296" i="4"/>
  <c r="A296" i="4"/>
  <c r="D295" i="4"/>
  <c r="C295" i="4"/>
  <c r="B295" i="4"/>
  <c r="A295" i="4"/>
  <c r="D294" i="4"/>
  <c r="C294" i="4"/>
  <c r="B294" i="4"/>
  <c r="A294" i="4"/>
  <c r="D293" i="4"/>
  <c r="C293" i="4"/>
  <c r="B293" i="4"/>
  <c r="A293" i="4"/>
  <c r="D292" i="4"/>
  <c r="C292" i="4"/>
  <c r="B292" i="4"/>
  <c r="A292" i="4"/>
  <c r="D291" i="4"/>
  <c r="C291" i="4"/>
  <c r="B291" i="4"/>
  <c r="A291" i="4"/>
  <c r="D290" i="4"/>
  <c r="C290" i="4"/>
  <c r="B290" i="4"/>
  <c r="A290" i="4"/>
  <c r="D289" i="4"/>
  <c r="C289" i="4"/>
  <c r="B289" i="4"/>
  <c r="A289" i="4"/>
  <c r="D288" i="4"/>
  <c r="C288" i="4"/>
  <c r="B288" i="4"/>
  <c r="A288" i="4"/>
  <c r="D287" i="4"/>
  <c r="C287" i="4"/>
  <c r="B287" i="4"/>
  <c r="A287" i="4"/>
  <c r="D286" i="4"/>
  <c r="C286" i="4"/>
  <c r="B286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D208" i="4"/>
  <c r="C208" i="4"/>
  <c r="B208" i="4"/>
  <c r="A208" i="4"/>
  <c r="D207" i="4"/>
  <c r="C207" i="4"/>
  <c r="B207" i="4"/>
  <c r="A207" i="4"/>
  <c r="D206" i="4"/>
  <c r="C206" i="4"/>
  <c r="B206" i="4"/>
  <c r="A206" i="4"/>
  <c r="D205" i="4"/>
  <c r="C205" i="4"/>
  <c r="B205" i="4"/>
  <c r="A205" i="4"/>
  <c r="D204" i="4"/>
  <c r="C204" i="4"/>
  <c r="B204" i="4"/>
  <c r="A204" i="4"/>
  <c r="D203" i="4"/>
  <c r="C203" i="4"/>
  <c r="B203" i="4"/>
  <c r="A203" i="4"/>
  <c r="D202" i="4"/>
  <c r="C202" i="4"/>
  <c r="B202" i="4"/>
  <c r="A202" i="4"/>
  <c r="D201" i="4"/>
  <c r="C201" i="4"/>
  <c r="B201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D121" i="4"/>
  <c r="C121" i="4"/>
  <c r="B121" i="4"/>
  <c r="A121" i="4"/>
  <c r="D120" i="4"/>
  <c r="C120" i="4"/>
  <c r="B120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D3" i="4"/>
  <c r="C3" i="4"/>
  <c r="B3" i="4"/>
  <c r="A3" i="4"/>
  <c r="D335" i="3" l="1"/>
  <c r="C335" i="3"/>
  <c r="B335" i="3"/>
  <c r="A335" i="3"/>
  <c r="D334" i="3"/>
  <c r="C334" i="3"/>
  <c r="B334" i="3"/>
  <c r="A334" i="3"/>
  <c r="D333" i="3"/>
  <c r="C333" i="3"/>
  <c r="B333" i="3"/>
  <c r="A333" i="3"/>
  <c r="D332" i="3"/>
  <c r="C332" i="3"/>
  <c r="B332" i="3"/>
  <c r="A332" i="3"/>
  <c r="D331" i="3"/>
  <c r="C331" i="3"/>
  <c r="B331" i="3"/>
  <c r="A331" i="3"/>
  <c r="D330" i="3"/>
  <c r="C330" i="3"/>
  <c r="B330" i="3"/>
  <c r="A330" i="3"/>
  <c r="D329" i="3"/>
  <c r="C329" i="3"/>
  <c r="B329" i="3"/>
  <c r="A329" i="3"/>
  <c r="D328" i="3"/>
  <c r="C328" i="3"/>
  <c r="B328" i="3"/>
  <c r="A328" i="3"/>
  <c r="D327" i="3"/>
  <c r="C327" i="3"/>
  <c r="B327" i="3"/>
  <c r="A327" i="3"/>
  <c r="D326" i="3"/>
  <c r="C326" i="3"/>
  <c r="B326" i="3"/>
  <c r="A326" i="3"/>
  <c r="D325" i="3"/>
  <c r="C325" i="3"/>
  <c r="B325" i="3"/>
  <c r="A325" i="3"/>
  <c r="D324" i="3"/>
  <c r="C324" i="3"/>
  <c r="B324" i="3"/>
  <c r="A324" i="3"/>
  <c r="D323" i="3"/>
  <c r="C323" i="3"/>
  <c r="B323" i="3"/>
  <c r="A323" i="3"/>
  <c r="D322" i="3"/>
  <c r="C322" i="3"/>
  <c r="B322" i="3"/>
  <c r="A322" i="3"/>
  <c r="D321" i="3"/>
  <c r="C321" i="3"/>
  <c r="B321" i="3"/>
  <c r="A321" i="3"/>
  <c r="D320" i="3"/>
  <c r="C320" i="3"/>
  <c r="B320" i="3"/>
  <c r="A320" i="3"/>
  <c r="D319" i="3"/>
  <c r="C319" i="3"/>
  <c r="B319" i="3"/>
  <c r="A319" i="3"/>
  <c r="D318" i="3"/>
  <c r="C318" i="3"/>
  <c r="B318" i="3"/>
  <c r="A318" i="3"/>
  <c r="D317" i="3"/>
  <c r="C317" i="3"/>
  <c r="B317" i="3"/>
  <c r="A317" i="3"/>
  <c r="D316" i="3"/>
  <c r="C316" i="3"/>
  <c r="B316" i="3"/>
  <c r="A316" i="3"/>
  <c r="D315" i="3"/>
  <c r="C315" i="3"/>
  <c r="B315" i="3"/>
  <c r="A315" i="3"/>
  <c r="D314" i="3"/>
  <c r="C314" i="3"/>
  <c r="B314" i="3"/>
  <c r="A314" i="3"/>
  <c r="D313" i="3"/>
  <c r="C313" i="3"/>
  <c r="B313" i="3"/>
  <c r="A313" i="3"/>
  <c r="D312" i="3"/>
  <c r="C312" i="3"/>
  <c r="B312" i="3"/>
  <c r="A312" i="3"/>
  <c r="D311" i="3"/>
  <c r="C311" i="3"/>
  <c r="B311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D287" i="3"/>
  <c r="C287" i="3"/>
  <c r="B287" i="3"/>
  <c r="A287" i="3"/>
  <c r="D286" i="3"/>
  <c r="C286" i="3"/>
  <c r="B286" i="3"/>
  <c r="A286" i="3"/>
  <c r="D285" i="3"/>
  <c r="C285" i="3"/>
  <c r="B285" i="3"/>
  <c r="A285" i="3"/>
  <c r="D284" i="3"/>
  <c r="C284" i="3"/>
  <c r="B284" i="3"/>
  <c r="A284" i="3"/>
  <c r="D283" i="3"/>
  <c r="C283" i="3"/>
  <c r="B283" i="3"/>
  <c r="A283" i="3"/>
  <c r="D282" i="3"/>
  <c r="C282" i="3"/>
  <c r="B282" i="3"/>
  <c r="A282" i="3"/>
  <c r="D281" i="3"/>
  <c r="C281" i="3"/>
  <c r="B281" i="3"/>
  <c r="A281" i="3"/>
  <c r="D280" i="3"/>
  <c r="C280" i="3"/>
  <c r="B280" i="3"/>
  <c r="A280" i="3"/>
  <c r="D279" i="3"/>
  <c r="C279" i="3"/>
  <c r="B279" i="3"/>
  <c r="A279" i="3"/>
  <c r="D278" i="3"/>
  <c r="C278" i="3"/>
  <c r="B278" i="3"/>
  <c r="A278" i="3"/>
  <c r="D277" i="3"/>
  <c r="C277" i="3"/>
  <c r="B277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D205" i="3"/>
  <c r="C205" i="3"/>
  <c r="B205" i="3"/>
  <c r="A205" i="3"/>
  <c r="D204" i="3"/>
  <c r="C204" i="3"/>
  <c r="B204" i="3"/>
  <c r="A204" i="3"/>
  <c r="D203" i="3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D199" i="3"/>
  <c r="C199" i="3"/>
  <c r="B199" i="3"/>
  <c r="A199" i="3"/>
  <c r="D198" i="3"/>
  <c r="C198" i="3"/>
  <c r="B198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D118" i="3"/>
  <c r="C118" i="3"/>
  <c r="B118" i="3"/>
  <c r="A118" i="3"/>
  <c r="D117" i="3"/>
  <c r="C117" i="3"/>
  <c r="B117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D3" i="3"/>
  <c r="C3" i="3"/>
  <c r="B3" i="3"/>
  <c r="A3" i="3"/>
  <c r="D330" i="2" l="1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D112" i="2"/>
  <c r="C112" i="2"/>
  <c r="B112" i="2"/>
  <c r="A112" i="2"/>
  <c r="D111" i="2"/>
  <c r="C111" i="2"/>
  <c r="B111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D3" i="2"/>
  <c r="C3" i="2"/>
  <c r="B3" i="2"/>
  <c r="A3" i="2"/>
  <c r="A3" i="1" l="1"/>
  <c r="B3" i="1"/>
  <c r="C3" i="1"/>
  <c r="D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B111" i="1"/>
  <c r="C111" i="1"/>
  <c r="D111" i="1"/>
  <c r="A112" i="1"/>
  <c r="B112" i="1"/>
  <c r="C112" i="1"/>
  <c r="D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B196" i="1"/>
  <c r="C196" i="1"/>
  <c r="D196" i="1"/>
  <c r="A197" i="1"/>
  <c r="B197" i="1"/>
  <c r="C197" i="1"/>
  <c r="D197" i="1"/>
  <c r="A198" i="1"/>
  <c r="B198" i="1"/>
  <c r="C198" i="1"/>
  <c r="D198" i="1"/>
  <c r="A199" i="1"/>
  <c r="B199" i="1"/>
  <c r="C199" i="1"/>
  <c r="D199" i="1"/>
  <c r="A200" i="1"/>
  <c r="B200" i="1"/>
  <c r="C200" i="1"/>
  <c r="D200" i="1"/>
  <c r="A201" i="1"/>
  <c r="B201" i="1"/>
  <c r="C201" i="1"/>
  <c r="D201" i="1"/>
  <c r="A202" i="1"/>
  <c r="B202" i="1"/>
  <c r="C202" i="1"/>
  <c r="D202" i="1"/>
  <c r="A203" i="1"/>
  <c r="B203" i="1"/>
  <c r="C203" i="1"/>
  <c r="D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B270" i="1"/>
  <c r="C270" i="1"/>
  <c r="D270" i="1"/>
  <c r="A271" i="1"/>
  <c r="B271" i="1"/>
  <c r="C271" i="1"/>
  <c r="D271" i="1"/>
  <c r="A272" i="1"/>
  <c r="B272" i="1"/>
  <c r="C272" i="1"/>
  <c r="D272" i="1"/>
  <c r="A273" i="1"/>
  <c r="B273" i="1"/>
  <c r="C273" i="1"/>
  <c r="D273" i="1"/>
  <c r="A274" i="1"/>
  <c r="B274" i="1"/>
  <c r="C274" i="1"/>
  <c r="D274" i="1"/>
  <c r="A275" i="1"/>
  <c r="B275" i="1"/>
  <c r="C275" i="1"/>
  <c r="D275" i="1"/>
  <c r="A276" i="1"/>
  <c r="B276" i="1"/>
  <c r="C276" i="1"/>
  <c r="D276" i="1"/>
  <c r="A277" i="1"/>
  <c r="B277" i="1"/>
  <c r="C277" i="1"/>
  <c r="D277" i="1"/>
  <c r="A278" i="1"/>
  <c r="B278" i="1"/>
  <c r="C278" i="1"/>
  <c r="D278" i="1"/>
  <c r="A279" i="1"/>
  <c r="B279" i="1"/>
  <c r="C279" i="1"/>
  <c r="D279" i="1"/>
  <c r="A280" i="1"/>
  <c r="B280" i="1"/>
  <c r="C280" i="1"/>
  <c r="D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B303" i="1"/>
  <c r="C303" i="1"/>
  <c r="D303" i="1"/>
  <c r="A304" i="1"/>
  <c r="B304" i="1"/>
  <c r="C304" i="1"/>
  <c r="D304" i="1"/>
  <c r="A305" i="1"/>
  <c r="B305" i="1"/>
  <c r="C305" i="1"/>
  <c r="D305" i="1"/>
  <c r="A306" i="1"/>
  <c r="B306" i="1"/>
  <c r="C306" i="1"/>
  <c r="D306" i="1"/>
  <c r="A307" i="1"/>
  <c r="B307" i="1"/>
  <c r="C307" i="1"/>
  <c r="D307" i="1"/>
  <c r="A308" i="1"/>
  <c r="B308" i="1"/>
  <c r="C308" i="1"/>
  <c r="D308" i="1"/>
  <c r="A309" i="1"/>
  <c r="B309" i="1"/>
  <c r="C309" i="1"/>
  <c r="D309" i="1"/>
  <c r="A310" i="1"/>
  <c r="B310" i="1"/>
  <c r="C310" i="1"/>
  <c r="D310" i="1"/>
  <c r="A311" i="1"/>
  <c r="B311" i="1"/>
  <c r="C311" i="1"/>
  <c r="D311" i="1"/>
  <c r="A312" i="1"/>
  <c r="B312" i="1"/>
  <c r="C312" i="1"/>
  <c r="D312" i="1"/>
  <c r="A313" i="1"/>
  <c r="B313" i="1"/>
  <c r="C313" i="1"/>
  <c r="D313" i="1"/>
  <c r="A314" i="1"/>
  <c r="B314" i="1"/>
  <c r="C314" i="1"/>
  <c r="D314" i="1"/>
  <c r="A315" i="1"/>
  <c r="B315" i="1"/>
  <c r="C315" i="1"/>
  <c r="D315" i="1"/>
  <c r="A316" i="1"/>
  <c r="B316" i="1"/>
  <c r="C316" i="1"/>
  <c r="D316" i="1"/>
  <c r="A317" i="1"/>
  <c r="B317" i="1"/>
  <c r="C317" i="1"/>
  <c r="D317" i="1"/>
  <c r="A318" i="1"/>
  <c r="B318" i="1"/>
  <c r="C318" i="1"/>
  <c r="D318" i="1"/>
  <c r="A319" i="1"/>
  <c r="B319" i="1"/>
  <c r="C319" i="1"/>
  <c r="D319" i="1"/>
  <c r="A320" i="1"/>
  <c r="B320" i="1"/>
  <c r="C320" i="1"/>
  <c r="D320" i="1"/>
  <c r="A321" i="1"/>
  <c r="B321" i="1"/>
  <c r="C321" i="1"/>
  <c r="D321" i="1"/>
  <c r="A322" i="1"/>
  <c r="B322" i="1"/>
  <c r="C322" i="1"/>
  <c r="D322" i="1"/>
  <c r="A323" i="1"/>
  <c r="B323" i="1"/>
  <c r="C323" i="1"/>
  <c r="D323" i="1"/>
  <c r="A324" i="1"/>
  <c r="B324" i="1"/>
  <c r="C324" i="1"/>
  <c r="D324" i="1"/>
  <c r="A325" i="1"/>
  <c r="B325" i="1"/>
  <c r="C325" i="1"/>
  <c r="D325" i="1"/>
  <c r="A326" i="1"/>
  <c r="B326" i="1"/>
  <c r="C326" i="1"/>
  <c r="D326" i="1"/>
  <c r="A327" i="1"/>
  <c r="B327" i="1"/>
  <c r="C327" i="1"/>
  <c r="D327" i="1"/>
</calcChain>
</file>

<file path=xl/sharedStrings.xml><?xml version="1.0" encoding="utf-8"?>
<sst xmlns="http://schemas.openxmlformats.org/spreadsheetml/2006/main" count="72" uniqueCount="17">
  <si>
    <t>Balancete Analitico                                                        Período de Referência: 01/2018</t>
  </si>
  <si>
    <t>Descricao!</t>
  </si>
  <si>
    <t>Saldo Inicial!R$</t>
  </si>
  <si>
    <t>Movimento!R$</t>
  </si>
  <si>
    <t>Saldo Final!R$</t>
  </si>
  <si>
    <t xml:space="preserve"> </t>
  </si>
  <si>
    <t>Balancete Analitico                                                        Período de Referência: 02/2018</t>
  </si>
  <si>
    <t>Balancete Analitico                                                        Período de Referência: 03/2018</t>
  </si>
  <si>
    <t>Balancete Analitico                                                        Período de Referência: 04/2018</t>
  </si>
  <si>
    <t>Balancete Analitico                                                        Período de Referência: 05/2018</t>
  </si>
  <si>
    <t>Balancete Analitico                                                        Período de Referência: 06/2018</t>
  </si>
  <si>
    <t>Balancete Analitico                                                        Período de Referência: 07/2018</t>
  </si>
  <si>
    <t>Balancete Analitico                                                        Período de Referência: 08/2018</t>
  </si>
  <si>
    <t>Balancete Analitico                                                        Período de Referência: 09/2018</t>
  </si>
  <si>
    <t>Balancete Analitico                                                        Período de Referência: 10/2018</t>
  </si>
  <si>
    <t>Balancete Analitico                                                        Período de Referência: 11/2018</t>
  </si>
  <si>
    <t>Balancete Analitico                                                        Período de Referência: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</si>
</sst>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0" xfId="0" applyFont="1" applyFill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16" fillId="34" borderId="10" xfId="0" applyFont="1" applyFill="1" applyBorder="1"/>
    <xf numFmtId="0" fontId="16" fillId="34" borderId="17" xfId="0" applyFont="1" applyFill="1" applyBorder="1"/>
    <xf numFmtId="164" fontId="0" fillId="0" borderId="12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8"/>
  <sheetViews>
    <sheetView tabSelected="1" workbookViewId="0">
      <selection activeCell="F4" sqref="F4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0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35507753.850000001</v>
      </c>
      <c r="C4" s="10">
        <v>-115464.43</v>
      </c>
      <c r="D4" s="10">
        <v>35392289.420000002</v>
      </c>
    </row>
    <row r="5" spans="1:4" x14ac:dyDescent="0.25">
      <c r="A5" s="2" t="str">
        <f>"1.1.0.00.00- ATIVO CIRCULANTE"</f>
        <v>1.1.0.00.00- ATIVO CIRCULANTE</v>
      </c>
      <c r="B5" s="10">
        <v>16000549.369999999</v>
      </c>
      <c r="C5" s="10">
        <v>-158279.91</v>
      </c>
      <c r="D5" s="10">
        <v>15842269.460000001</v>
      </c>
    </row>
    <row r="6" spans="1:4" x14ac:dyDescent="0.25">
      <c r="A6" s="2" t="str">
        <f>"1.1.1.00.00- DISPONIVEL"</f>
        <v>1.1.1.00.00- DISPONIVEL</v>
      </c>
      <c r="B6" s="10">
        <v>6242735.8499999996</v>
      </c>
      <c r="C6" s="10">
        <v>-26071.49</v>
      </c>
      <c r="D6" s="10">
        <v>6216664.3600000003</v>
      </c>
    </row>
    <row r="7" spans="1:4" x14ac:dyDescent="0.25">
      <c r="A7" s="2" t="str">
        <f>"1.1.1.02.00- BANCOS C/MOVIMENTO"</f>
        <v>1.1.1.02.00- BANCOS C/MOVIMENTO</v>
      </c>
      <c r="B7" s="10">
        <v>187991.13</v>
      </c>
      <c r="C7" s="10">
        <v>199564.4</v>
      </c>
      <c r="D7" s="10">
        <v>387555.53</v>
      </c>
    </row>
    <row r="8" spans="1:4" x14ac:dyDescent="0.25">
      <c r="A8" s="2" t="str">
        <f>"1.1.1.02.11- Banco do Brasil S/A - 720.000-5"</f>
        <v>1.1.1.02.11- Banco do Brasil S/A - 720.000-5</v>
      </c>
      <c r="B8" s="10">
        <v>55.13</v>
      </c>
      <c r="C8" s="10">
        <v>-46.95</v>
      </c>
      <c r="D8" s="10">
        <v>8.18</v>
      </c>
    </row>
    <row r="9" spans="1:4" x14ac:dyDescent="0.25">
      <c r="A9" s="2" t="str">
        <f>"1.1.1.02.12- Banco do Brasil S/A - 720.001-3"</f>
        <v>1.1.1.02.12- Banco do Brasil S/A - 720.001-3</v>
      </c>
      <c r="B9" s="10">
        <v>2156.9</v>
      </c>
      <c r="C9" s="10">
        <v>-2150.4299999999998</v>
      </c>
      <c r="D9" s="10">
        <v>6.47</v>
      </c>
    </row>
    <row r="10" spans="1:4" x14ac:dyDescent="0.25">
      <c r="A10" s="2" t="str">
        <f>"1.1.1.02.29- Caixa Econômica Federal - 3289-3 Arrecad"</f>
        <v>1.1.1.02.29- Caixa Econômica Federal - 3289-3 Arrecad</v>
      </c>
      <c r="B10" s="10">
        <v>31758.55</v>
      </c>
      <c r="C10" s="10">
        <v>-3962.23</v>
      </c>
      <c r="D10" s="10">
        <v>27796.32</v>
      </c>
    </row>
    <row r="11" spans="1:4" x14ac:dyDescent="0.25">
      <c r="A11" s="2" t="str">
        <f>"1.1.1.02.30- Caixa Econômica Federal - 3291-5 Movimen"</f>
        <v>1.1.1.02.30- Caixa Econômica Federal - 3291-5 Movimen</v>
      </c>
      <c r="B11" s="10">
        <v>0</v>
      </c>
      <c r="C11" s="10">
        <v>65.69</v>
      </c>
      <c r="D11" s="10">
        <v>65.69</v>
      </c>
    </row>
    <row r="12" spans="1:4" x14ac:dyDescent="0.25">
      <c r="A12" s="2" t="str">
        <f>"1.1.1.02.32- Caixa Econômica Federal - 3292-3 Leilão"</f>
        <v>1.1.1.02.32- Caixa Econômica Federal - 3292-3 Leilão</v>
      </c>
      <c r="B12" s="10">
        <v>80</v>
      </c>
      <c r="C12" s="10">
        <v>0</v>
      </c>
      <c r="D12" s="10">
        <v>80</v>
      </c>
    </row>
    <row r="13" spans="1:4" x14ac:dyDescent="0.25">
      <c r="A13" s="2" t="str">
        <f>"1.1.1.02.37- Caixa Econômica Federal - 3299-0Leilão16"</f>
        <v>1.1.1.02.37- Caixa Econômica Federal - 3299-0Leilão16</v>
      </c>
      <c r="B13" s="10">
        <v>80</v>
      </c>
      <c r="C13" s="10">
        <v>0</v>
      </c>
      <c r="D13" s="10">
        <v>80</v>
      </c>
    </row>
    <row r="14" spans="1:4" x14ac:dyDescent="0.25">
      <c r="A14" s="2" t="str">
        <f>"1.1.1.02.39- Caixa Econômica Federal - 3301-6 Mídia"</f>
        <v>1.1.1.02.39- Caixa Econômica Federal - 3301-6 Mídia</v>
      </c>
      <c r="B14" s="10">
        <v>5374.26</v>
      </c>
      <c r="C14" s="10">
        <v>-3962</v>
      </c>
      <c r="D14" s="10">
        <v>1412.26</v>
      </c>
    </row>
    <row r="15" spans="1:4" x14ac:dyDescent="0.25">
      <c r="A15" s="2" t="str">
        <f>"1.1.1.02.40- Caixa Econômica Federal - 3302-4 Mídia"</f>
        <v>1.1.1.02.40- Caixa Econômica Federal - 3302-4 Mídia</v>
      </c>
      <c r="B15" s="10">
        <v>65940.08</v>
      </c>
      <c r="C15" s="10">
        <v>-9551.52</v>
      </c>
      <c r="D15" s="10">
        <v>56388.56</v>
      </c>
    </row>
    <row r="16" spans="1:4" x14ac:dyDescent="0.25">
      <c r="A16" s="2" t="str">
        <f>"1.1.1.02.41- Caixa Econômica Federal - 3303-2Rotativo"</f>
        <v>1.1.1.02.41- Caixa Econômica Federal - 3303-2Rotativo</v>
      </c>
      <c r="B16" s="10">
        <v>81672.600000000006</v>
      </c>
      <c r="C16" s="10">
        <v>214262.95</v>
      </c>
      <c r="D16" s="10">
        <v>295935.55</v>
      </c>
    </row>
    <row r="17" spans="1:4" x14ac:dyDescent="0.25">
      <c r="A17" s="2" t="str">
        <f>"1.1.1.02.46- Caixa Econômica Federal - 3309-1 Rot int"</f>
        <v>1.1.1.02.46- Caixa Econômica Federal - 3309-1 Rot int</v>
      </c>
      <c r="B17" s="10">
        <v>308</v>
      </c>
      <c r="C17" s="10">
        <v>5434</v>
      </c>
      <c r="D17" s="10">
        <v>5742</v>
      </c>
    </row>
    <row r="18" spans="1:4" x14ac:dyDescent="0.25">
      <c r="A18" s="2" t="str">
        <f>"1.1.1.02.48- Caixa Econômica Federal - 3393-8Leilão17"</f>
        <v>1.1.1.02.48- Caixa Econômica Federal - 3393-8Leilão17</v>
      </c>
      <c r="B18" s="10">
        <v>565.61</v>
      </c>
      <c r="C18" s="10">
        <v>-565.61</v>
      </c>
      <c r="D18" s="10">
        <v>0</v>
      </c>
    </row>
    <row r="19" spans="1:4" x14ac:dyDescent="0.25">
      <c r="A19" s="2" t="str">
        <f>"1.1.1.02.51- Caixa Econômica Federal -3501-9Leillão17"</f>
        <v>1.1.1.02.51- Caixa Econômica Federal -3501-9Leillão17</v>
      </c>
      <c r="B19" s="10">
        <v>0</v>
      </c>
      <c r="C19" s="10">
        <v>40.5</v>
      </c>
      <c r="D19" s="10">
        <v>40.5</v>
      </c>
    </row>
    <row r="20" spans="1:4" x14ac:dyDescent="0.25">
      <c r="A20" s="2" t="str">
        <f>"1.1.1.03.00- APLICACOES FINANCEIRAS"</f>
        <v>1.1.1.03.00- APLICACOES FINANCEIRAS</v>
      </c>
      <c r="B20" s="10">
        <v>3535432.38</v>
      </c>
      <c r="C20" s="10">
        <v>-184616.89</v>
      </c>
      <c r="D20" s="10">
        <v>3350815.49</v>
      </c>
    </row>
    <row r="21" spans="1:4" x14ac:dyDescent="0.25">
      <c r="A21" s="2" t="str">
        <f>"1.1.1.03.23- Caixa Econômica Federal - 3291-5"</f>
        <v>1.1.1.03.23- Caixa Econômica Federal - 3291-5</v>
      </c>
      <c r="B21" s="10">
        <v>2275930.35</v>
      </c>
      <c r="C21" s="10">
        <v>-279072.52</v>
      </c>
      <c r="D21" s="10">
        <v>1996857.83</v>
      </c>
    </row>
    <row r="22" spans="1:4" x14ac:dyDescent="0.25">
      <c r="A22" s="2" t="str">
        <f>"1.1.1.03.25- Caixa Econômica Federal - 3292-3 Leilão"</f>
        <v>1.1.1.03.25- Caixa Econômica Federal - 3292-3 Leilão</v>
      </c>
      <c r="B22" s="10">
        <v>72232.100000000006</v>
      </c>
      <c r="C22" s="10">
        <v>395.53</v>
      </c>
      <c r="D22" s="10">
        <v>72627.63</v>
      </c>
    </row>
    <row r="23" spans="1:4" x14ac:dyDescent="0.25">
      <c r="A23" s="2" t="str">
        <f>"1.1.1.03.26- Caixa Econômica Federal - 3295-8Leilão13"</f>
        <v>1.1.1.03.26- Caixa Econômica Federal - 3295-8Leilão13</v>
      </c>
      <c r="B23" s="10">
        <v>197819.9</v>
      </c>
      <c r="C23" s="10">
        <v>1083.22</v>
      </c>
      <c r="D23" s="10">
        <v>198903.12</v>
      </c>
    </row>
    <row r="24" spans="1:4" x14ac:dyDescent="0.25">
      <c r="A24" s="2" t="str">
        <f>"1.1.1.03.29- Caixa Econômica Federal - 3298-2Leilão15"</f>
        <v>1.1.1.03.29- Caixa Econômica Federal - 3298-2Leilão15</v>
      </c>
      <c r="B24" s="10">
        <v>98967.94</v>
      </c>
      <c r="C24" s="10">
        <v>463.91</v>
      </c>
      <c r="D24" s="10">
        <v>99431.85</v>
      </c>
    </row>
    <row r="25" spans="1:4" x14ac:dyDescent="0.25">
      <c r="A25" s="2" t="str">
        <f>"1.1.1.03.30- Caixa Econômica Federal - 3299-0Leilão16"</f>
        <v>1.1.1.03.30- Caixa Econômica Federal - 3299-0Leilão16</v>
      </c>
      <c r="B25" s="10">
        <v>124428.23</v>
      </c>
      <c r="C25" s="10">
        <v>681.35</v>
      </c>
      <c r="D25" s="10">
        <v>125109.58</v>
      </c>
    </row>
    <row r="26" spans="1:4" x14ac:dyDescent="0.25">
      <c r="A26" s="2" t="str">
        <f>"1.1.1.03.31- Caixa Econômica Federal - 3300-8Leilão16"</f>
        <v>1.1.1.03.31- Caixa Econômica Federal - 3300-8Leilão16</v>
      </c>
      <c r="B26" s="10">
        <v>44715.14</v>
      </c>
      <c r="C26" s="10">
        <v>209.6</v>
      </c>
      <c r="D26" s="10">
        <v>44924.74</v>
      </c>
    </row>
    <row r="27" spans="1:4" x14ac:dyDescent="0.25">
      <c r="A27" s="2" t="str">
        <f>"1.1.1.03.32- Caixa Econômica - 3301-6 Mídia"</f>
        <v>1.1.1.03.32- Caixa Econômica - 3301-6 Mídia</v>
      </c>
      <c r="B27" s="10">
        <v>75638.960000000006</v>
      </c>
      <c r="C27" s="10">
        <v>4667.17</v>
      </c>
      <c r="D27" s="10">
        <v>80306.13</v>
      </c>
    </row>
    <row r="28" spans="1:4" x14ac:dyDescent="0.25">
      <c r="A28" s="2" t="str">
        <f>"1.1.1.03.35- Caixa Econômica - 3304-0Caução"</f>
        <v>1.1.1.03.35- Caixa Econômica - 3304-0Caução</v>
      </c>
      <c r="B28" s="10">
        <v>425242.06</v>
      </c>
      <c r="C28" s="10">
        <v>2092.67</v>
      </c>
      <c r="D28" s="10">
        <v>427334.73</v>
      </c>
    </row>
    <row r="29" spans="1:4" x14ac:dyDescent="0.25">
      <c r="A29" s="2" t="str">
        <f>"1.1.1.03.36- Caixa Econômica - 3305-9Sucumb."</f>
        <v>1.1.1.03.36- Caixa Econômica - 3305-9Sucumb.</v>
      </c>
      <c r="B29" s="10">
        <v>36593.21</v>
      </c>
      <c r="C29" s="10">
        <v>-31827.1</v>
      </c>
      <c r="D29" s="10">
        <v>4766.1099999999997</v>
      </c>
    </row>
    <row r="30" spans="1:4" x14ac:dyDescent="0.25">
      <c r="A30" s="2" t="str">
        <f>"1.1.1.03.38- Caixa Econômica - 3308-3Leilão"</f>
        <v>1.1.1.03.38- Caixa Econômica - 3308-3Leilão</v>
      </c>
      <c r="B30" s="10">
        <v>2139.37</v>
      </c>
      <c r="C30" s="10">
        <v>9.58</v>
      </c>
      <c r="D30" s="10">
        <v>2148.9499999999998</v>
      </c>
    </row>
    <row r="31" spans="1:4" x14ac:dyDescent="0.25">
      <c r="A31" s="2" t="str">
        <f>"1.1.1.03.41- Caixa Econômica - 531-0 Aci moto poupanç"</f>
        <v>1.1.1.03.41- Caixa Econômica - 531-0 Aci moto poupanç</v>
      </c>
      <c r="B31" s="10">
        <v>4369.03</v>
      </c>
      <c r="C31" s="10">
        <v>47.87</v>
      </c>
      <c r="D31" s="10">
        <v>4416.8999999999996</v>
      </c>
    </row>
    <row r="32" spans="1:4" x14ac:dyDescent="0.25">
      <c r="A32" s="2" t="str">
        <f>"1.1.1.03.42- Caixa Econômica - 532-9 Acid Ped Poupanç"</f>
        <v>1.1.1.03.42- Caixa Econômica - 532-9 Acid Ped Poupanç</v>
      </c>
      <c r="B32" s="10">
        <v>89360.33</v>
      </c>
      <c r="C32" s="10">
        <v>660.53</v>
      </c>
      <c r="D32" s="10">
        <v>90020.86</v>
      </c>
    </row>
    <row r="33" spans="1:4" x14ac:dyDescent="0.25">
      <c r="A33" s="2" t="str">
        <f>"1.1.1.03.43- Caixa Econômica - 534-5 Codemig Poupança"</f>
        <v>1.1.1.03.43- Caixa Econômica - 534-5 Codemig Poupança</v>
      </c>
      <c r="B33" s="10">
        <v>25433.05</v>
      </c>
      <c r="C33" s="10">
        <v>278.63</v>
      </c>
      <c r="D33" s="10">
        <v>25711.68</v>
      </c>
    </row>
    <row r="34" spans="1:4" x14ac:dyDescent="0.25">
      <c r="A34" s="2" t="str">
        <f>"1.1.1.03.44- Caixa Econômica - 535-3 Turblog Poupança"</f>
        <v>1.1.1.03.44- Caixa Econômica - 535-3 Turblog Poupança</v>
      </c>
      <c r="B34" s="10">
        <v>62562.71</v>
      </c>
      <c r="C34" s="10">
        <v>685.41</v>
      </c>
      <c r="D34" s="10">
        <v>63248.12</v>
      </c>
    </row>
    <row r="35" spans="1:4" x14ac:dyDescent="0.25">
      <c r="A35" s="2" t="str">
        <f>"1.1.1.03.45- Caixa Econômica Federal - 3393-8Leilão17"</f>
        <v>1.1.1.03.45- Caixa Econômica Federal - 3393-8Leilão17</v>
      </c>
      <c r="B35" s="10">
        <v>0</v>
      </c>
      <c r="C35" s="10">
        <v>114859.42</v>
      </c>
      <c r="D35" s="10">
        <v>114859.42</v>
      </c>
    </row>
    <row r="36" spans="1:4" x14ac:dyDescent="0.25">
      <c r="A36" s="2" t="str">
        <f>"1.1.1.03.46- Caixa Econômica Federal -3501-9Leillão17"</f>
        <v>1.1.1.03.46- Caixa Econômica Federal -3501-9Leillão17</v>
      </c>
      <c r="B36" s="10">
        <v>0</v>
      </c>
      <c r="C36" s="10">
        <v>147.84</v>
      </c>
      <c r="D36" s="10">
        <v>147.84</v>
      </c>
    </row>
    <row r="37" spans="1:4" x14ac:dyDescent="0.25">
      <c r="A37" s="2" t="str">
        <f>"1.1.1.04.00- BANCOS C/VINCULADA-PAMEH"</f>
        <v>1.1.1.04.00- BANCOS C/VINCULADA-PAMEH</v>
      </c>
      <c r="B37" s="10">
        <v>2519312.34</v>
      </c>
      <c r="C37" s="10">
        <v>-41019</v>
      </c>
      <c r="D37" s="10">
        <v>2478293.34</v>
      </c>
    </row>
    <row r="38" spans="1:4" x14ac:dyDescent="0.25">
      <c r="A38" s="2" t="str">
        <f>"1.1.1.04.07- Caixa Econômica Federal - 3294-0"</f>
        <v>1.1.1.04.07- Caixa Econômica Federal - 3294-0</v>
      </c>
      <c r="B38" s="10">
        <v>0</v>
      </c>
      <c r="C38" s="10">
        <v>665.3</v>
      </c>
      <c r="D38" s="10">
        <v>665.3</v>
      </c>
    </row>
    <row r="39" spans="1:4" x14ac:dyDescent="0.25">
      <c r="A39" s="2" t="str">
        <f>"1.1.1.04.08- Caixa Econômica Federal - 3294-0 Aplic."</f>
        <v>1.1.1.04.08- Caixa Econômica Federal - 3294-0 Aplic.</v>
      </c>
      <c r="B39" s="10">
        <v>2519312.34</v>
      </c>
      <c r="C39" s="10">
        <v>-41684.300000000003</v>
      </c>
      <c r="D39" s="10">
        <v>2477628.04</v>
      </c>
    </row>
    <row r="40" spans="1:4" x14ac:dyDescent="0.25">
      <c r="A40" s="2" t="str">
        <f>"1.1.2.00.00- REALIZAVEL A CURTO PRAZO"</f>
        <v>1.1.2.00.00- REALIZAVEL A CURTO PRAZO</v>
      </c>
      <c r="B40" s="10">
        <v>9757813.5199999996</v>
      </c>
      <c r="C40" s="10">
        <v>-132208.42000000001</v>
      </c>
      <c r="D40" s="10">
        <v>9625605.0999999996</v>
      </c>
    </row>
    <row r="41" spans="1:4" x14ac:dyDescent="0.25">
      <c r="A41" s="2" t="str">
        <f>"1.1.2.01.00- CONTAS A RECEBER"</f>
        <v>1.1.2.01.00- CONTAS A RECEBER</v>
      </c>
      <c r="B41" s="10">
        <v>4420532.55</v>
      </c>
      <c r="C41" s="10">
        <v>464151.41</v>
      </c>
      <c r="D41" s="10">
        <v>4884683.96</v>
      </c>
    </row>
    <row r="42" spans="1:4" x14ac:dyDescent="0.25">
      <c r="A42" s="2" t="str">
        <f>"1.1.2.01.89- Multas Transporte Coletivo"</f>
        <v>1.1.2.01.89- Multas Transporte Coletivo</v>
      </c>
      <c r="B42" s="10">
        <v>5395467.5599999996</v>
      </c>
      <c r="C42" s="10">
        <v>516034.9</v>
      </c>
      <c r="D42" s="10">
        <v>5911502.46</v>
      </c>
    </row>
    <row r="43" spans="1:4" x14ac:dyDescent="0.25">
      <c r="A43" s="2" t="str">
        <f>"1.1.2.01.92- Midia Taxi, Escolar e Suplementar"</f>
        <v>1.1.2.01.92- Midia Taxi, Escolar e Suplementar</v>
      </c>
      <c r="B43" s="10">
        <v>280</v>
      </c>
      <c r="C43" s="10">
        <v>-280</v>
      </c>
      <c r="D43" s="10">
        <v>0</v>
      </c>
    </row>
    <row r="44" spans="1:4" x14ac:dyDescent="0.25">
      <c r="A44" s="2" t="str">
        <f>"1.1.2.01.94- Midia Onibus a Receber"</f>
        <v>1.1.2.01.94- Midia Onibus a Receber</v>
      </c>
      <c r="B44" s="10">
        <v>253567.34</v>
      </c>
      <c r="C44" s="10">
        <v>0</v>
      </c>
      <c r="D44" s="10">
        <v>253567.34</v>
      </c>
    </row>
    <row r="45" spans="1:4" x14ac:dyDescent="0.25">
      <c r="A45" s="2" t="str">
        <f>"1.1.2.01.99- (-) Provisao para Perdas"</f>
        <v>1.1.2.01.99- (-) Provisao para Perdas</v>
      </c>
      <c r="B45" s="10">
        <v>-1228782.3500000001</v>
      </c>
      <c r="C45" s="10">
        <v>-51603.49</v>
      </c>
      <c r="D45" s="10">
        <v>-1280385.8400000001</v>
      </c>
    </row>
    <row r="46" spans="1:4" x14ac:dyDescent="0.25">
      <c r="A46" s="2" t="str">
        <f>"1.1.2.06.00- ADIANTAMENTO A EMPREGADOS"</f>
        <v>1.1.2.06.00- ADIANTAMENTO A EMPREGADOS</v>
      </c>
      <c r="B46" s="10">
        <v>1814058.27</v>
      </c>
      <c r="C46" s="10">
        <v>-581943.34</v>
      </c>
      <c r="D46" s="10">
        <v>1232114.93</v>
      </c>
    </row>
    <row r="47" spans="1:4" x14ac:dyDescent="0.25">
      <c r="A47" s="2" t="str">
        <f>"1.1.2.06.01- Adiantamento de Ferias"</f>
        <v>1.1.2.06.01- Adiantamento de Ferias</v>
      </c>
      <c r="B47" s="10">
        <v>1573281.51</v>
      </c>
      <c r="C47" s="10">
        <v>-1025630.11</v>
      </c>
      <c r="D47" s="10">
        <v>547651.4</v>
      </c>
    </row>
    <row r="48" spans="1:4" x14ac:dyDescent="0.25">
      <c r="A48" s="2" t="str">
        <f>"1.1.2.06.02- Adiantamento de 13. Salario"</f>
        <v>1.1.2.06.02- Adiantamento de 13. Salario</v>
      </c>
      <c r="B48" s="10">
        <v>0</v>
      </c>
      <c r="C48" s="10">
        <v>377623.56</v>
      </c>
      <c r="D48" s="10">
        <v>377623.56</v>
      </c>
    </row>
    <row r="49" spans="1:4" x14ac:dyDescent="0.25">
      <c r="A49" s="2" t="str">
        <f>"1.1.2.06.03- Adiant. de Salario/Parc. Ferias"</f>
        <v>1.1.2.06.03- Adiant. de Salario/Parc. Ferias</v>
      </c>
      <c r="B49" s="10">
        <v>67123.210000000006</v>
      </c>
      <c r="C49" s="10">
        <v>76825.210000000006</v>
      </c>
      <c r="D49" s="10">
        <v>143948.42000000001</v>
      </c>
    </row>
    <row r="50" spans="1:4" x14ac:dyDescent="0.25">
      <c r="A50" s="2" t="str">
        <f>"1.1.2.06.07- Adiantamento Pensao s/ Ferias"</f>
        <v>1.1.2.06.07- Adiantamento Pensao s/ Ferias</v>
      </c>
      <c r="B50" s="10">
        <v>173653.55</v>
      </c>
      <c r="C50" s="10">
        <v>-10762</v>
      </c>
      <c r="D50" s="10">
        <v>162891.54999999999</v>
      </c>
    </row>
    <row r="51" spans="1:4" x14ac:dyDescent="0.25">
      <c r="A51" s="2" t="str">
        <f>"1.1.2.08.00- ALMOXARIFADO"</f>
        <v>1.1.2.08.00- ALMOXARIFADO</v>
      </c>
      <c r="B51" s="10">
        <v>265178.90000000002</v>
      </c>
      <c r="C51" s="10">
        <v>-37356.870000000003</v>
      </c>
      <c r="D51" s="10">
        <v>227822.03</v>
      </c>
    </row>
    <row r="52" spans="1:4" x14ac:dyDescent="0.25">
      <c r="A52" s="2" t="str">
        <f>"1.1.2.08.01- Material em Estoque"</f>
        <v>1.1.2.08.01- Material em Estoque</v>
      </c>
      <c r="B52" s="10">
        <v>265178.90000000002</v>
      </c>
      <c r="C52" s="10">
        <v>-37356.870000000003</v>
      </c>
      <c r="D52" s="10">
        <v>227822.03</v>
      </c>
    </row>
    <row r="53" spans="1:4" x14ac:dyDescent="0.25">
      <c r="A53" s="2" t="str">
        <f>"1.1.2.10.00- IMPOSTOS E CONTRIB.A RECUPERAR"</f>
        <v>1.1.2.10.00- IMPOSTOS E CONTRIB.A RECUPERAR</v>
      </c>
      <c r="B53" s="10">
        <v>1912492.96</v>
      </c>
      <c r="C53" s="10">
        <v>1854.29</v>
      </c>
      <c r="D53" s="10">
        <v>1914347.25</v>
      </c>
    </row>
    <row r="54" spans="1:4" x14ac:dyDescent="0.25">
      <c r="A54" s="2" t="str">
        <f>"1.1.2.10.01- IR s/Aplicacao Financeira"</f>
        <v>1.1.2.10.01- IR s/Aplicacao Financeira</v>
      </c>
      <c r="B54" s="10">
        <v>531866.42000000004</v>
      </c>
      <c r="C54" s="10">
        <v>1792.43</v>
      </c>
      <c r="D54" s="10">
        <v>533658.85</v>
      </c>
    </row>
    <row r="55" spans="1:4" x14ac:dyDescent="0.25">
      <c r="A55" s="2" t="str">
        <f>"1.1.2.10.08- IRRF a Compensar"</f>
        <v>1.1.2.10.08- IRRF a Compensar</v>
      </c>
      <c r="B55" s="10">
        <v>1454.99</v>
      </c>
      <c r="C55" s="10">
        <v>0</v>
      </c>
      <c r="D55" s="10">
        <v>1454.99</v>
      </c>
    </row>
    <row r="56" spans="1:4" x14ac:dyDescent="0.25">
      <c r="A56" s="2" t="str">
        <f>"1.1.2.10.15- Cofins a Compensar"</f>
        <v>1.1.2.10.15- Cofins a Compensar</v>
      </c>
      <c r="B56" s="10">
        <v>1039251.09</v>
      </c>
      <c r="C56" s="10">
        <v>0.03</v>
      </c>
      <c r="D56" s="10">
        <v>1039251.12</v>
      </c>
    </row>
    <row r="57" spans="1:4" x14ac:dyDescent="0.25">
      <c r="A57" s="2" t="str">
        <f>"1.1.2.10.16- PIS a Compensar"</f>
        <v>1.1.2.10.16- PIS a Compensar</v>
      </c>
      <c r="B57" s="10">
        <v>224393.97</v>
      </c>
      <c r="C57" s="10">
        <v>-0.01</v>
      </c>
      <c r="D57" s="10">
        <v>224393.96</v>
      </c>
    </row>
    <row r="58" spans="1:4" x14ac:dyDescent="0.25">
      <c r="A58" s="2" t="str">
        <f>"1.1.2.10.20- V.M.A PIS a Recuperar"</f>
        <v>1.1.2.10.20- V.M.A PIS a Recuperar</v>
      </c>
      <c r="B58" s="10">
        <v>1378.77</v>
      </c>
      <c r="C58" s="10">
        <v>33.86</v>
      </c>
      <c r="D58" s="10">
        <v>1412.63</v>
      </c>
    </row>
    <row r="59" spans="1:4" x14ac:dyDescent="0.25">
      <c r="A59" s="2" t="str">
        <f>"1.1.2.10.21- V.M.A IRRF a Compensar"</f>
        <v>1.1.2.10.21- V.M.A IRRF a Compensar</v>
      </c>
      <c r="B59" s="10">
        <v>479.58</v>
      </c>
      <c r="C59" s="10">
        <v>8.44</v>
      </c>
      <c r="D59" s="10">
        <v>488.02</v>
      </c>
    </row>
    <row r="60" spans="1:4" x14ac:dyDescent="0.25">
      <c r="A60" s="2" t="str">
        <f>"1.1.2.10.22- V.M.A COFINS a Compensar"</f>
        <v>1.1.2.10.22- V.M.A COFINS a Compensar</v>
      </c>
      <c r="B60" s="10">
        <v>5404.37</v>
      </c>
      <c r="C60" s="10">
        <v>19.54</v>
      </c>
      <c r="D60" s="10">
        <v>5423.91</v>
      </c>
    </row>
    <row r="61" spans="1:4" x14ac:dyDescent="0.25">
      <c r="A61" s="2" t="str">
        <f>"1.1.2.10.25- INSS a recuperar segurados"</f>
        <v>1.1.2.10.25- INSS a recuperar segurados</v>
      </c>
      <c r="B61" s="10">
        <v>108263.77</v>
      </c>
      <c r="C61" s="10">
        <v>0</v>
      </c>
      <c r="D61" s="10">
        <v>108263.77</v>
      </c>
    </row>
    <row r="62" spans="1:4" x14ac:dyDescent="0.25">
      <c r="A62" s="2" t="str">
        <f>"1.1.2.11.00- DESPESAS ANTECIPADAS"</f>
        <v>1.1.2.11.00- DESPESAS ANTECIPADAS</v>
      </c>
      <c r="B62" s="10">
        <v>6969.64</v>
      </c>
      <c r="C62" s="10">
        <v>-1159</v>
      </c>
      <c r="D62" s="10">
        <v>5810.64</v>
      </c>
    </row>
    <row r="63" spans="1:4" x14ac:dyDescent="0.25">
      <c r="A63" s="2" t="str">
        <f>"1.1.2.11.01- Premios de Seguros a Vencer"</f>
        <v>1.1.2.11.01- Premios de Seguros a Vencer</v>
      </c>
      <c r="B63" s="10">
        <v>6969.64</v>
      </c>
      <c r="C63" s="10">
        <v>-1159</v>
      </c>
      <c r="D63" s="10">
        <v>5810.64</v>
      </c>
    </row>
    <row r="64" spans="1:4" x14ac:dyDescent="0.25">
      <c r="A64" s="2" t="str">
        <f>"1.1.2.12.00- VALORES VINC.A RECEBER-PAMEH"</f>
        <v>1.1.2.12.00- VALORES VINC.A RECEBER-PAMEH</v>
      </c>
      <c r="B64" s="10">
        <v>744535.19</v>
      </c>
      <c r="C64" s="10">
        <v>-9018.64</v>
      </c>
      <c r="D64" s="10">
        <v>735516.55</v>
      </c>
    </row>
    <row r="65" spans="1:4" x14ac:dyDescent="0.25">
      <c r="A65" s="2" t="str">
        <f>"1.1.2.12.01- Valores Vinculados-PAMEH"</f>
        <v>1.1.2.12.01- Valores Vinculados-PAMEH</v>
      </c>
      <c r="B65" s="10">
        <v>744535.19</v>
      </c>
      <c r="C65" s="10">
        <v>-9018.64</v>
      </c>
      <c r="D65" s="10">
        <v>735516.55</v>
      </c>
    </row>
    <row r="66" spans="1:4" x14ac:dyDescent="0.25">
      <c r="A66" s="2" t="str">
        <f>"1.1.2.14.00- CONTAS TRANSITORIAS - GRUPO ATIVO"</f>
        <v>1.1.2.14.00- CONTAS TRANSITORIAS - GRUPO ATIVO</v>
      </c>
      <c r="B66" s="10">
        <v>562900.61</v>
      </c>
      <c r="C66" s="10">
        <v>-23349.62</v>
      </c>
      <c r="D66" s="10">
        <v>539550.99</v>
      </c>
    </row>
    <row r="67" spans="1:4" x14ac:dyDescent="0.25">
      <c r="A67" s="2" t="str">
        <f>"1.1.2.14.05- Transitoria Folha de Pagamento"</f>
        <v>1.1.2.14.05- Transitoria Folha de Pagamento</v>
      </c>
      <c r="B67" s="10">
        <v>562900.61</v>
      </c>
      <c r="C67" s="10">
        <v>-23349.62</v>
      </c>
      <c r="D67" s="10">
        <v>539550.99</v>
      </c>
    </row>
    <row r="68" spans="1:4" x14ac:dyDescent="0.25">
      <c r="A68" s="2" t="str">
        <f>"1.1.2.15.00- CARNE ESTACIONAMENTO ROTATIVO"</f>
        <v>1.1.2.15.00- CARNE ESTACIONAMENTO ROTATIVO</v>
      </c>
      <c r="B68" s="10">
        <v>31145.4</v>
      </c>
      <c r="C68" s="10">
        <v>54613.35</v>
      </c>
      <c r="D68" s="10">
        <v>85758.75</v>
      </c>
    </row>
    <row r="69" spans="1:4" x14ac:dyDescent="0.25">
      <c r="A69" s="2" t="str">
        <f>"1.1.2.15.01- Carne Rotativo"</f>
        <v>1.1.2.15.01- Carne Rotativo</v>
      </c>
      <c r="B69" s="10">
        <v>31145.4</v>
      </c>
      <c r="C69" s="10">
        <v>54613.35</v>
      </c>
      <c r="D69" s="10">
        <v>85758.75</v>
      </c>
    </row>
    <row r="70" spans="1:4" x14ac:dyDescent="0.25">
      <c r="A70" s="2" t="str">
        <f>"1.2.0.00.00- ATIVO NAO CIRCULANTE"</f>
        <v>1.2.0.00.00- ATIVO NAO CIRCULANTE</v>
      </c>
      <c r="B70" s="10">
        <v>19507204.48</v>
      </c>
      <c r="C70" s="10">
        <v>42815.48</v>
      </c>
      <c r="D70" s="10">
        <v>19550019.960000001</v>
      </c>
    </row>
    <row r="71" spans="1:4" x14ac:dyDescent="0.25">
      <c r="A71" s="2" t="str">
        <f>"1.2.1.00.00- REALIZAVEL A LONGO PRAZO"</f>
        <v>1.2.1.00.00- REALIZAVEL A LONGO PRAZO</v>
      </c>
      <c r="B71" s="10">
        <v>17451614.309999999</v>
      </c>
      <c r="C71" s="10">
        <v>58254</v>
      </c>
      <c r="D71" s="10">
        <v>17509868.309999999</v>
      </c>
    </row>
    <row r="72" spans="1:4" x14ac:dyDescent="0.25">
      <c r="A72" s="2" t="str">
        <f>"1.2.1.01.00- CREDITOS E VALORES A RECEBER"</f>
        <v>1.2.1.01.00- CREDITOS E VALORES A RECEBER</v>
      </c>
      <c r="B72" s="10">
        <v>17451614.309999999</v>
      </c>
      <c r="C72" s="10">
        <v>58254</v>
      </c>
      <c r="D72" s="10">
        <v>17509868.309999999</v>
      </c>
    </row>
    <row r="73" spans="1:4" x14ac:dyDescent="0.25">
      <c r="A73" s="2" t="str">
        <f>"1.2.1.01.01- Depositos Judiciais"</f>
        <v>1.2.1.01.01- Depositos Judiciais</v>
      </c>
      <c r="B73" s="10">
        <v>4936159.33</v>
      </c>
      <c r="C73" s="10">
        <v>58254</v>
      </c>
      <c r="D73" s="10">
        <v>4994413.33</v>
      </c>
    </row>
    <row r="74" spans="1:4" x14ac:dyDescent="0.25">
      <c r="A74" s="2" t="str">
        <f>"1.2.1.01.03- Depositos Judiciais de Terceiros"</f>
        <v>1.2.1.01.03- Depositos Judiciais de Terceiros</v>
      </c>
      <c r="B74" s="10">
        <v>925087.39</v>
      </c>
      <c r="C74" s="10">
        <v>0</v>
      </c>
      <c r="D74" s="10">
        <v>925087.39</v>
      </c>
    </row>
    <row r="75" spans="1:4" x14ac:dyDescent="0.25">
      <c r="A75" s="2" t="str">
        <f>"1.2.1.01.04- Convenio Prefeitura Betim"</f>
        <v>1.2.1.01.04- Convenio Prefeitura Betim</v>
      </c>
      <c r="B75" s="10">
        <v>891.18</v>
      </c>
      <c r="C75" s="10">
        <v>0</v>
      </c>
      <c r="D75" s="10">
        <v>891.18</v>
      </c>
    </row>
    <row r="76" spans="1:4" x14ac:dyDescent="0.25">
      <c r="A76" s="2" t="str">
        <f>"1.2.1.01.05- Convenio IPSEMG"</f>
        <v>1.2.1.01.05- Convenio IPSEMG</v>
      </c>
      <c r="B76" s="10">
        <v>21163.53</v>
      </c>
      <c r="C76" s="10">
        <v>0</v>
      </c>
      <c r="D76" s="10">
        <v>21163.53</v>
      </c>
    </row>
    <row r="77" spans="1:4" x14ac:dyDescent="0.25">
      <c r="A77" s="2" t="str">
        <f>"1.2.1.01.06- Multas Transporte Coletivo"</f>
        <v>1.2.1.01.06- Multas Transporte Coletivo</v>
      </c>
      <c r="B77" s="10">
        <v>12853680.960000001</v>
      </c>
      <c r="C77" s="10">
        <v>0</v>
      </c>
      <c r="D77" s="10">
        <v>12853680.960000001</v>
      </c>
    </row>
    <row r="78" spans="1:4" x14ac:dyDescent="0.25">
      <c r="A78" s="2" t="str">
        <f>"1.2.1.01.07- (-) Provisao para Perdas"</f>
        <v>1.2.1.01.07- (-) Provisao para Perdas</v>
      </c>
      <c r="B78" s="10">
        <v>-1285368.08</v>
      </c>
      <c r="C78" s="10">
        <v>0</v>
      </c>
      <c r="D78" s="10">
        <v>-1285368.08</v>
      </c>
    </row>
    <row r="79" spans="1:4" x14ac:dyDescent="0.25">
      <c r="A79" s="2" t="str">
        <f>"1.3.1.00.00- INVESTIMENTOS"</f>
        <v>1.3.1.00.00- INVESTIMENTOS</v>
      </c>
      <c r="B79" s="10">
        <v>26070</v>
      </c>
      <c r="C79" s="10">
        <v>0</v>
      </c>
      <c r="D79" s="10">
        <v>26070</v>
      </c>
    </row>
    <row r="80" spans="1:4" x14ac:dyDescent="0.25">
      <c r="A80" s="2" t="str">
        <f>"1.3.1.01.00- OUTROS INVESTIMENTOS"</f>
        <v>1.3.1.01.00- OUTROS INVESTIMENTOS</v>
      </c>
      <c r="B80" s="10">
        <v>26070</v>
      </c>
      <c r="C80" s="10">
        <v>0</v>
      </c>
      <c r="D80" s="10">
        <v>26070</v>
      </c>
    </row>
    <row r="81" spans="1:4" x14ac:dyDescent="0.25">
      <c r="A81" s="2" t="str">
        <f>"1.3.1.01.01- Obras de Arte"</f>
        <v>1.3.1.01.01- Obras de Arte</v>
      </c>
      <c r="B81" s="10">
        <v>25200</v>
      </c>
      <c r="C81" s="10">
        <v>0</v>
      </c>
      <c r="D81" s="10">
        <v>25200</v>
      </c>
    </row>
    <row r="82" spans="1:4" x14ac:dyDescent="0.25">
      <c r="A82" s="2" t="str">
        <f>"1.3.1.01.02- Participações Societárias - PBH ATIVOS"</f>
        <v>1.3.1.01.02- Participações Societárias - PBH ATIVOS</v>
      </c>
      <c r="B82" s="10">
        <v>870</v>
      </c>
      <c r="C82" s="10">
        <v>0</v>
      </c>
      <c r="D82" s="10">
        <v>870</v>
      </c>
    </row>
    <row r="83" spans="1:4" x14ac:dyDescent="0.25">
      <c r="A83" s="2" t="str">
        <f>"1.3.2.00.00- IMOBILIZADO"</f>
        <v>1.3.2.00.00- IMOBILIZADO</v>
      </c>
      <c r="B83" s="10">
        <v>7703004.1900000004</v>
      </c>
      <c r="C83" s="10">
        <v>6689.5</v>
      </c>
      <c r="D83" s="10">
        <v>7709693.6900000004</v>
      </c>
    </row>
    <row r="84" spans="1:4" x14ac:dyDescent="0.25">
      <c r="A84" s="2" t="str">
        <f>"1.3.2.01.01- Maquinas e equipamentos"</f>
        <v>1.3.2.01.01- Maquinas e equipamentos</v>
      </c>
      <c r="B84" s="10">
        <v>239335.46</v>
      </c>
      <c r="C84" s="10">
        <v>2289.5</v>
      </c>
      <c r="D84" s="10">
        <v>241624.95999999999</v>
      </c>
    </row>
    <row r="85" spans="1:4" x14ac:dyDescent="0.25">
      <c r="A85" s="2" t="str">
        <f>"1.3.2.02.01- Ferramentas"</f>
        <v>1.3.2.02.01- Ferramentas</v>
      </c>
      <c r="B85" s="10">
        <v>9104.81</v>
      </c>
      <c r="C85" s="10">
        <v>0</v>
      </c>
      <c r="D85" s="10">
        <v>9104.81</v>
      </c>
    </row>
    <row r="86" spans="1:4" x14ac:dyDescent="0.25">
      <c r="A86" s="2" t="str">
        <f>"1.3.2.03.01- Equipamentos de comunicacao"</f>
        <v>1.3.2.03.01- Equipamentos de comunicacao</v>
      </c>
      <c r="B86" s="10">
        <v>172167.01</v>
      </c>
      <c r="C86" s="10">
        <v>0</v>
      </c>
      <c r="D86" s="10">
        <v>172167.01</v>
      </c>
    </row>
    <row r="87" spans="1:4" x14ac:dyDescent="0.25">
      <c r="A87" s="2" t="str">
        <f>"1.3.2.04.01- Instalacoes"</f>
        <v>1.3.2.04.01- Instalacoes</v>
      </c>
      <c r="B87" s="10">
        <v>85222.9</v>
      </c>
      <c r="C87" s="10">
        <v>0</v>
      </c>
      <c r="D87" s="10">
        <v>85222.9</v>
      </c>
    </row>
    <row r="88" spans="1:4" x14ac:dyDescent="0.25">
      <c r="A88" s="2" t="str">
        <f>"1.3.2.06.01- Moveis e utensilios"</f>
        <v>1.3.2.06.01- Moveis e utensilios</v>
      </c>
      <c r="B88" s="10">
        <v>537331.43999999994</v>
      </c>
      <c r="C88" s="10">
        <v>4400</v>
      </c>
      <c r="D88" s="10">
        <v>541731.43999999994</v>
      </c>
    </row>
    <row r="89" spans="1:4" x14ac:dyDescent="0.25">
      <c r="A89" s="2" t="str">
        <f>"1.3.2.08.01- Instalacoes administrativas"</f>
        <v>1.3.2.08.01- Instalacoes administrativas</v>
      </c>
      <c r="B89" s="10">
        <v>99146.34</v>
      </c>
      <c r="C89" s="10">
        <v>0</v>
      </c>
      <c r="D89" s="10">
        <v>99146.34</v>
      </c>
    </row>
    <row r="90" spans="1:4" x14ac:dyDescent="0.25">
      <c r="A90" s="2" t="str">
        <f>"1.3.2.09.01- Aparelhos/equipamentos diversos"</f>
        <v>1.3.2.09.01- Aparelhos/equipamentos diversos</v>
      </c>
      <c r="B90" s="10">
        <v>602533.56999999995</v>
      </c>
      <c r="C90" s="10">
        <v>0</v>
      </c>
      <c r="D90" s="10">
        <v>602533.56999999995</v>
      </c>
    </row>
    <row r="91" spans="1:4" x14ac:dyDescent="0.25">
      <c r="A91" s="2" t="str">
        <f>"1.3.2.10.01- Equip. p/ processamento de dados"</f>
        <v>1.3.2.10.01- Equip. p/ processamento de dados</v>
      </c>
      <c r="B91" s="10">
        <v>1550246.6</v>
      </c>
      <c r="C91" s="10">
        <v>0</v>
      </c>
      <c r="D91" s="10">
        <v>1550246.6</v>
      </c>
    </row>
    <row r="92" spans="1:4" x14ac:dyDescent="0.25">
      <c r="A92" s="2" t="str">
        <f>"1.3.2.12.01- Micros/impressoras e acessorios"</f>
        <v>1.3.2.12.01- Micros/impressoras e acessorios</v>
      </c>
      <c r="B92" s="10">
        <v>2690531.68</v>
      </c>
      <c r="C92" s="10">
        <v>0</v>
      </c>
      <c r="D92" s="10">
        <v>2690531.68</v>
      </c>
    </row>
    <row r="93" spans="1:4" x14ac:dyDescent="0.25">
      <c r="A93" s="2" t="str">
        <f>"1.3.2.13.01- Imobilizacao em imoveis de terceiros"</f>
        <v>1.3.2.13.01- Imobilizacao em imoveis de terceiros</v>
      </c>
      <c r="B93" s="10">
        <v>511539.98</v>
      </c>
      <c r="C93" s="10">
        <v>0</v>
      </c>
      <c r="D93" s="10">
        <v>511539.98</v>
      </c>
    </row>
    <row r="94" spans="1:4" x14ac:dyDescent="0.25">
      <c r="A94" s="2" t="str">
        <f>"1.3.2.14.01- Estacao Diamante"</f>
        <v>1.3.2.14.01- Estacao Diamante</v>
      </c>
      <c r="B94" s="10">
        <v>1162384.46</v>
      </c>
      <c r="C94" s="10">
        <v>0</v>
      </c>
      <c r="D94" s="10">
        <v>1162384.46</v>
      </c>
    </row>
    <row r="95" spans="1:4" x14ac:dyDescent="0.25">
      <c r="A95" s="2" t="str">
        <f>"1.3.2.15.00- IMOBILIZACOES EM ANDAMENTO"</f>
        <v>1.3.2.15.00- IMOBILIZACOES EM ANDAMENTO</v>
      </c>
      <c r="B95" s="10">
        <v>43459.94</v>
      </c>
      <c r="C95" s="10">
        <v>0</v>
      </c>
      <c r="D95" s="10">
        <v>43459.94</v>
      </c>
    </row>
    <row r="96" spans="1:4" x14ac:dyDescent="0.25">
      <c r="A96" s="2" t="str">
        <f>"1.3.2.15.01- Construcoes em Andamento"</f>
        <v>1.3.2.15.01- Construcoes em Andamento</v>
      </c>
      <c r="B96" s="10">
        <v>43459.94</v>
      </c>
      <c r="C96" s="10">
        <v>0</v>
      </c>
      <c r="D96" s="10">
        <v>43459.94</v>
      </c>
    </row>
    <row r="97" spans="1:4" x14ac:dyDescent="0.25">
      <c r="A97" s="2" t="str">
        <f>"1.3.3.00.00- INTANGIVEL"</f>
        <v>1.3.3.00.00- INTANGIVEL</v>
      </c>
      <c r="B97" s="10">
        <v>37558</v>
      </c>
      <c r="C97" s="10">
        <v>0</v>
      </c>
      <c r="D97" s="10">
        <v>37558</v>
      </c>
    </row>
    <row r="98" spans="1:4" x14ac:dyDescent="0.25">
      <c r="A98" s="2" t="str">
        <f>"1.3.3.04.01- Programas e Sistemas"</f>
        <v>1.3.3.04.01- Programas e Sistemas</v>
      </c>
      <c r="B98" s="10">
        <v>37558</v>
      </c>
      <c r="C98" s="10">
        <v>0</v>
      </c>
      <c r="D98" s="10">
        <v>37558</v>
      </c>
    </row>
    <row r="99" spans="1:4" x14ac:dyDescent="0.25">
      <c r="A99" s="2" t="str">
        <f>"1.3.5.00.00- ( - )DEPRECIACAO E AMORTIZACAO"</f>
        <v>1.3.5.00.00- ( - )DEPRECIACAO E AMORTIZACAO</v>
      </c>
      <c r="B99" s="10">
        <v>-5711042.0199999996</v>
      </c>
      <c r="C99" s="10">
        <v>-22128.02</v>
      </c>
      <c r="D99" s="10">
        <v>-5733170.04</v>
      </c>
    </row>
    <row r="100" spans="1:4" x14ac:dyDescent="0.25">
      <c r="A100" s="2" t="str">
        <f>"1.3.5.01.00- ( - ) DEPRECIACAO E AMORTIZACAO"</f>
        <v>1.3.5.01.00- ( - ) DEPRECIACAO E AMORTIZACAO</v>
      </c>
      <c r="B100" s="10">
        <v>-5711042.0199999996</v>
      </c>
      <c r="C100" s="10">
        <v>-22128.02</v>
      </c>
      <c r="D100" s="10">
        <v>-5733170.04</v>
      </c>
    </row>
    <row r="101" spans="1:4" x14ac:dyDescent="0.25">
      <c r="A101" s="2" t="str">
        <f>"1.3.5.01.01- ( - ) Moveis e Utensilios"</f>
        <v>1.3.5.01.01- ( - ) Moveis e Utensilios</v>
      </c>
      <c r="B101" s="10">
        <v>-444290.62</v>
      </c>
      <c r="C101" s="10">
        <v>-2426.14</v>
      </c>
      <c r="D101" s="10">
        <v>-446716.76</v>
      </c>
    </row>
    <row r="102" spans="1:4" x14ac:dyDescent="0.25">
      <c r="A102" s="2" t="str">
        <f>"1.3.5.01.02- ( - ) Aparelhos/Equipamentos Diversos"</f>
        <v>1.3.5.01.02- ( - ) Aparelhos/Equipamentos Diversos</v>
      </c>
      <c r="B102" s="10">
        <v>-366985.48</v>
      </c>
      <c r="C102" s="10">
        <v>-3780.53</v>
      </c>
      <c r="D102" s="10">
        <v>-370766.01</v>
      </c>
    </row>
    <row r="103" spans="1:4" x14ac:dyDescent="0.25">
      <c r="A103" s="2" t="str">
        <f>"1.3.5.01.03- ( - ) Instalacoes Administrativas"</f>
        <v>1.3.5.01.03- ( - ) Instalacoes Administrativas</v>
      </c>
      <c r="B103" s="10">
        <v>-99026.43</v>
      </c>
      <c r="C103" s="10">
        <v>-3.31</v>
      </c>
      <c r="D103" s="10">
        <v>-99029.74</v>
      </c>
    </row>
    <row r="104" spans="1:4" x14ac:dyDescent="0.25">
      <c r="A104" s="2" t="str">
        <f>"1.3.5.01.05- ( - ) Impressoras e Micros"</f>
        <v>1.3.5.01.05- ( - ) Impressoras e Micros</v>
      </c>
      <c r="B104" s="10">
        <v>-3262859.76</v>
      </c>
      <c r="C104" s="10">
        <v>-7871.71</v>
      </c>
      <c r="D104" s="10">
        <v>-3270731.47</v>
      </c>
    </row>
    <row r="105" spans="1:4" x14ac:dyDescent="0.25">
      <c r="A105" s="2" t="str">
        <f>"1.3.5.01.06- ( - ) Maquinas e Equipamentos"</f>
        <v>1.3.5.01.06- ( - ) Maquinas e Equipamentos</v>
      </c>
      <c r="B105" s="10">
        <v>-157421.98000000001</v>
      </c>
      <c r="C105" s="10">
        <v>-1503.52</v>
      </c>
      <c r="D105" s="10">
        <v>-158925.5</v>
      </c>
    </row>
    <row r="106" spans="1:4" x14ac:dyDescent="0.25">
      <c r="A106" s="2" t="str">
        <f>"1.3.5.01.07- ( - ) Equipamentos de Comunicacao"</f>
        <v>1.3.5.01.07- ( - ) Equipamentos de Comunicacao</v>
      </c>
      <c r="B106" s="10">
        <v>-171995.79</v>
      </c>
      <c r="C106" s="10">
        <v>-21.34</v>
      </c>
      <c r="D106" s="10">
        <v>-172017.13</v>
      </c>
    </row>
    <row r="107" spans="1:4" x14ac:dyDescent="0.25">
      <c r="A107" s="2" t="str">
        <f>"1.3.5.01.08- ( - ) Instalacoes Operacionais"</f>
        <v>1.3.5.01.08- ( - ) Instalacoes Operacionais</v>
      </c>
      <c r="B107" s="10">
        <v>-66688.05</v>
      </c>
      <c r="C107" s="10">
        <v>-272.37</v>
      </c>
      <c r="D107" s="10">
        <v>-66960.42</v>
      </c>
    </row>
    <row r="108" spans="1:4" x14ac:dyDescent="0.25">
      <c r="A108" s="2" t="str">
        <f>"1.3.5.01.09- ( - ) Programas (Softwares)"</f>
        <v>1.3.5.01.09- ( - ) Programas (Softwares)</v>
      </c>
      <c r="B108" s="10">
        <v>-29354.69</v>
      </c>
      <c r="C108" s="10">
        <v>-612.5</v>
      </c>
      <c r="D108" s="10">
        <v>-29967.19</v>
      </c>
    </row>
    <row r="109" spans="1:4" x14ac:dyDescent="0.25">
      <c r="A109" s="2" t="str">
        <f>"1.3.5.01.14- ( - ) Ferramentas"</f>
        <v>1.3.5.01.14- ( - ) Ferramentas</v>
      </c>
      <c r="B109" s="10">
        <v>-7202.98</v>
      </c>
      <c r="C109" s="10">
        <v>-56.85</v>
      </c>
      <c r="D109" s="10">
        <v>-7259.83</v>
      </c>
    </row>
    <row r="110" spans="1:4" x14ac:dyDescent="0.25">
      <c r="A110" s="2" t="str">
        <f>"1.3.5.01.15- ( - ) Imobilizacoes em Imov. Terceiros"</f>
        <v>1.3.5.01.15- ( - ) Imobilizacoes em Imov. Terceiros</v>
      </c>
      <c r="B110" s="10">
        <v>-1105216.24</v>
      </c>
      <c r="C110" s="10">
        <v>-5579.75</v>
      </c>
      <c r="D110" s="10">
        <v>-1110795.99</v>
      </c>
    </row>
    <row r="111" spans="1:4" x14ac:dyDescent="0.25">
      <c r="A111" s="2" t="str">
        <f>""</f>
        <v/>
      </c>
      <c r="B111" s="3" t="str">
        <f>""</f>
        <v/>
      </c>
      <c r="C111" s="3" t="str">
        <f>""</f>
        <v/>
      </c>
      <c r="D111" s="3" t="str">
        <f>""</f>
        <v/>
      </c>
    </row>
    <row r="112" spans="1:4" x14ac:dyDescent="0.25">
      <c r="A112" s="2" t="str">
        <f>"PASSIVO"</f>
        <v>PASSIVO</v>
      </c>
      <c r="B112" s="3" t="str">
        <f>""</f>
        <v/>
      </c>
      <c r="C112" s="3" t="str">
        <f>""</f>
        <v/>
      </c>
      <c r="D112" s="3" t="str">
        <f>""</f>
        <v/>
      </c>
    </row>
    <row r="113" spans="1:4" x14ac:dyDescent="0.25">
      <c r="A113" s="2" t="str">
        <f>"2.0.0.00.00- PASSIVO"</f>
        <v>2.0.0.00.00- PASSIVO</v>
      </c>
      <c r="B113" s="10">
        <v>35507753.850000001</v>
      </c>
      <c r="C113" s="10">
        <v>197277.59</v>
      </c>
      <c r="D113" s="10">
        <v>35705031.439999998</v>
      </c>
    </row>
    <row r="114" spans="1:4" x14ac:dyDescent="0.25">
      <c r="A114" s="2" t="str">
        <f>"2.1.0.00.00- PASSIVO CIRCULANTE"</f>
        <v>2.1.0.00.00- PASSIVO CIRCULANTE</v>
      </c>
      <c r="B114" s="10">
        <v>64096580.560000002</v>
      </c>
      <c r="C114" s="10">
        <v>353379.98</v>
      </c>
      <c r="D114" s="10">
        <v>64449960.539999999</v>
      </c>
    </row>
    <row r="115" spans="1:4" x14ac:dyDescent="0.25">
      <c r="A115" s="2" t="str">
        <f>"2.1.1.00.00- OBRIGACOES COM PESSOAL"</f>
        <v>2.1.1.00.00- OBRIGACOES COM PESSOAL</v>
      </c>
      <c r="B115" s="10">
        <v>17962646.370000001</v>
      </c>
      <c r="C115" s="10">
        <v>-2320365.3199999998</v>
      </c>
      <c r="D115" s="10">
        <v>15642281.050000001</v>
      </c>
    </row>
    <row r="116" spans="1:4" x14ac:dyDescent="0.25">
      <c r="A116" s="2" t="str">
        <f>"2.1.1.01.00- SALARIOS A PAGAR"</f>
        <v>2.1.1.01.00- SALARIOS A PAGAR</v>
      </c>
      <c r="B116" s="10">
        <v>17962646.370000001</v>
      </c>
      <c r="C116" s="10">
        <v>-2320365.3199999998</v>
      </c>
      <c r="D116" s="10">
        <v>15642281.050000001</v>
      </c>
    </row>
    <row r="117" spans="1:4" x14ac:dyDescent="0.25">
      <c r="A117" s="2" t="str">
        <f>"2.1.1.01.01- Salarios a Pagar"</f>
        <v>2.1.1.01.01- Salarios a Pagar</v>
      </c>
      <c r="B117" s="10">
        <v>5108358.93</v>
      </c>
      <c r="C117" s="10">
        <v>-485868.15</v>
      </c>
      <c r="D117" s="10">
        <v>4622490.78</v>
      </c>
    </row>
    <row r="118" spans="1:4" x14ac:dyDescent="0.25">
      <c r="A118" s="2" t="str">
        <f>"2.1.1.01.02- Provisão 13º Salário"</f>
        <v>2.1.1.01.02- Provisão 13º Salário</v>
      </c>
      <c r="B118" s="10">
        <v>0</v>
      </c>
      <c r="C118" s="10">
        <v>449236.6</v>
      </c>
      <c r="D118" s="10">
        <v>449236.6</v>
      </c>
    </row>
    <row r="119" spans="1:4" x14ac:dyDescent="0.25">
      <c r="A119" s="2" t="str">
        <f>"2.1.1.01.03- Ferias a pagar"</f>
        <v>2.1.1.01.03- Ferias a pagar</v>
      </c>
      <c r="B119" s="10">
        <v>352978.55</v>
      </c>
      <c r="C119" s="10">
        <v>-349306.37</v>
      </c>
      <c r="D119" s="10">
        <v>3672.18</v>
      </c>
    </row>
    <row r="120" spans="1:4" x14ac:dyDescent="0.25">
      <c r="A120" s="2" t="str">
        <f>"2.1.1.01.05- Rescisoes a Pagar"</f>
        <v>2.1.1.01.05- Rescisoes a Pagar</v>
      </c>
      <c r="B120" s="10">
        <v>910</v>
      </c>
      <c r="C120" s="10">
        <v>-192.46</v>
      </c>
      <c r="D120" s="10">
        <v>717.54</v>
      </c>
    </row>
    <row r="121" spans="1:4" x14ac:dyDescent="0.25">
      <c r="A121" s="2" t="str">
        <f>"2.1.1.01.09- Provisao de Ferias"</f>
        <v>2.1.1.01.09- Provisao de Ferias</v>
      </c>
      <c r="B121" s="10">
        <v>7588482.8600000003</v>
      </c>
      <c r="C121" s="10">
        <v>-969147.79</v>
      </c>
      <c r="D121" s="10">
        <v>6619335.0700000003</v>
      </c>
    </row>
    <row r="122" spans="1:4" x14ac:dyDescent="0.25">
      <c r="A122" s="2" t="str">
        <f>"2.1.1.01.11- Indenizações trabalhistas - ACT"</f>
        <v>2.1.1.01.11- Indenizações trabalhistas - ACT</v>
      </c>
      <c r="B122" s="10">
        <v>4911916.03</v>
      </c>
      <c r="C122" s="10">
        <v>-965087.15</v>
      </c>
      <c r="D122" s="10">
        <v>3946828.88</v>
      </c>
    </row>
    <row r="123" spans="1:4" x14ac:dyDescent="0.25">
      <c r="A123" s="2" t="str">
        <f>"2.1.2.00.00- OBRIGACOES SOCIAIS A CURTO PRAZO"</f>
        <v>2.1.2.00.00- OBRIGACOES SOCIAIS A CURTO PRAZO</v>
      </c>
      <c r="B123" s="10">
        <v>6367821.9000000004</v>
      </c>
      <c r="C123" s="10">
        <v>-306186.45</v>
      </c>
      <c r="D123" s="10">
        <v>6061635.4500000002</v>
      </c>
    </row>
    <row r="124" spans="1:4" x14ac:dyDescent="0.25">
      <c r="A124" s="2" t="str">
        <f>"2.1.2.01.00- OBRIGACOES SOCIAIS A RECOLHER"</f>
        <v>2.1.2.01.00- OBRIGACOES SOCIAIS A RECOLHER</v>
      </c>
      <c r="B124" s="10">
        <v>6367821.9000000004</v>
      </c>
      <c r="C124" s="10">
        <v>-306186.45</v>
      </c>
      <c r="D124" s="10">
        <v>6061635.4500000002</v>
      </c>
    </row>
    <row r="125" spans="1:4" x14ac:dyDescent="0.25">
      <c r="A125" s="2" t="str">
        <f>"2.1.2.01.01- INSS a recolher s/Folha Pagto"</f>
        <v>2.1.2.01.01- INSS a recolher s/Folha Pagto</v>
      </c>
      <c r="B125" s="10">
        <v>2242886.0099999998</v>
      </c>
      <c r="C125" s="10">
        <v>10885.72</v>
      </c>
      <c r="D125" s="10">
        <v>2253771.73</v>
      </c>
    </row>
    <row r="126" spans="1:4" x14ac:dyDescent="0.25">
      <c r="A126" s="2" t="str">
        <f>"2.1.2.01.02- FGTS a recolher s/Folha Pagto"</f>
        <v>2.1.2.01.02- FGTS a recolher s/Folha Pagto</v>
      </c>
      <c r="B126" s="10">
        <v>752370.27</v>
      </c>
      <c r="C126" s="10">
        <v>-202938.2</v>
      </c>
      <c r="D126" s="10">
        <v>549432.06999999995</v>
      </c>
    </row>
    <row r="127" spans="1:4" x14ac:dyDescent="0.25">
      <c r="A127" s="2" t="str">
        <f>"2.1.2.01.05- Contribuicao Sindical"</f>
        <v>2.1.2.01.05- Contribuicao Sindical</v>
      </c>
      <c r="B127" s="10">
        <v>8082.13</v>
      </c>
      <c r="C127" s="10">
        <v>-11.34</v>
      </c>
      <c r="D127" s="10">
        <v>8070.79</v>
      </c>
    </row>
    <row r="128" spans="1:4" x14ac:dyDescent="0.25">
      <c r="A128" s="2" t="str">
        <f>"2.1.2.01.06- INSS s/Provisao de Ferias"</f>
        <v>2.1.2.01.06- INSS s/Provisao de Ferias</v>
      </c>
      <c r="B128" s="10">
        <v>2207826.7000000002</v>
      </c>
      <c r="C128" s="10">
        <v>-301985.90999999997</v>
      </c>
      <c r="D128" s="10">
        <v>1905840.79</v>
      </c>
    </row>
    <row r="129" spans="1:4" x14ac:dyDescent="0.25">
      <c r="A129" s="2" t="str">
        <f>"2.1.2.01.07- AEB - Assoc. Empreg. BHTRANS"</f>
        <v>2.1.2.01.07- AEB - Assoc. Empreg. BHTRANS</v>
      </c>
      <c r="B129" s="10">
        <v>4860.46</v>
      </c>
      <c r="C129" s="10">
        <v>-31.67</v>
      </c>
      <c r="D129" s="10">
        <v>4828.79</v>
      </c>
    </row>
    <row r="130" spans="1:4" x14ac:dyDescent="0.25">
      <c r="A130" s="2" t="str">
        <f>"2.1.2.01.09- INSS a Recolher s/Autonomos"</f>
        <v>2.1.2.01.09- INSS a Recolher s/Autonomos</v>
      </c>
      <c r="B130" s="10">
        <v>3200.87</v>
      </c>
      <c r="C130" s="10">
        <v>-1677.66</v>
      </c>
      <c r="D130" s="10">
        <v>1523.21</v>
      </c>
    </row>
    <row r="131" spans="1:4" x14ac:dyDescent="0.25">
      <c r="A131" s="2" t="str">
        <f>"2.1.2.01.10- INSS s/Provisao de 13.Salario"</f>
        <v>2.1.2.01.10- INSS s/Provisao de 13.Salario</v>
      </c>
      <c r="B131" s="10">
        <v>0</v>
      </c>
      <c r="C131" s="10">
        <v>129913.21</v>
      </c>
      <c r="D131" s="10">
        <v>129913.21</v>
      </c>
    </row>
    <row r="132" spans="1:4" x14ac:dyDescent="0.25">
      <c r="A132" s="2" t="str">
        <f>"2.1.2.01.11- FGTS s/Provisao de 13.Salario"</f>
        <v>2.1.2.01.11- FGTS s/Provisao de 13.Salario</v>
      </c>
      <c r="B132" s="10">
        <v>0</v>
      </c>
      <c r="C132" s="10">
        <v>30899.439999999999</v>
      </c>
      <c r="D132" s="10">
        <v>30899.439999999999</v>
      </c>
    </row>
    <row r="133" spans="1:4" x14ac:dyDescent="0.25">
      <c r="A133" s="2" t="str">
        <f>"2.1.2.01.12- FGTS s/Provisao de Ferias"</f>
        <v>2.1.2.01.12- FGTS s/Provisao de Ferias</v>
      </c>
      <c r="B133" s="10">
        <v>605937.31999999995</v>
      </c>
      <c r="C133" s="10">
        <v>-78411.990000000005</v>
      </c>
      <c r="D133" s="10">
        <v>527525.32999999996</v>
      </c>
    </row>
    <row r="134" spans="1:4" x14ac:dyDescent="0.25">
      <c r="A134" s="2" t="str">
        <f>"2.1.2.01.13- Contribuicao ao PAMEH"</f>
        <v>2.1.2.01.13- Contribuicao ao PAMEH</v>
      </c>
      <c r="B134" s="10">
        <v>465587.25</v>
      </c>
      <c r="C134" s="10">
        <v>-9976.5400000000009</v>
      </c>
      <c r="D134" s="10">
        <v>455610.71</v>
      </c>
    </row>
    <row r="135" spans="1:4" x14ac:dyDescent="0.25">
      <c r="A135" s="2" t="str">
        <f>"2.1.2.01.15- Crediserv-BH"</f>
        <v>2.1.2.01.15- Crediserv-BH</v>
      </c>
      <c r="B135" s="10">
        <v>19061.63</v>
      </c>
      <c r="C135" s="10">
        <v>1859.29</v>
      </c>
      <c r="D135" s="10">
        <v>20920.919999999998</v>
      </c>
    </row>
    <row r="136" spans="1:4" x14ac:dyDescent="0.25">
      <c r="A136" s="2" t="str">
        <f>"2.1.2.01.16- INSS Fonte a Recolher - PJ"</f>
        <v>2.1.2.01.16- INSS Fonte a Recolher - PJ</v>
      </c>
      <c r="B136" s="10">
        <v>55863.66</v>
      </c>
      <c r="C136" s="10">
        <v>116143.08</v>
      </c>
      <c r="D136" s="10">
        <v>172006.74</v>
      </c>
    </row>
    <row r="137" spans="1:4" x14ac:dyDescent="0.25">
      <c r="A137" s="2" t="str">
        <f>"2.1.2.01.18- INSS Fonte a Recolher - P F"</f>
        <v>2.1.2.01.18- INSS Fonte a Recolher - P F</v>
      </c>
      <c r="B137" s="10">
        <v>1615.6</v>
      </c>
      <c r="C137" s="10">
        <v>-853.88</v>
      </c>
      <c r="D137" s="10">
        <v>761.72</v>
      </c>
    </row>
    <row r="138" spans="1:4" x14ac:dyDescent="0.25">
      <c r="A138" s="2" t="str">
        <f>"2.1.2.01.19- ASFIM - PBH"</f>
        <v>2.1.2.01.19- ASFIM - PBH</v>
      </c>
      <c r="B138" s="10">
        <v>530</v>
      </c>
      <c r="C138" s="10">
        <v>0</v>
      </c>
      <c r="D138" s="10">
        <v>530</v>
      </c>
    </row>
    <row r="139" spans="1:4" x14ac:dyDescent="0.25">
      <c r="A139" s="2" t="str">
        <f>"2.1.3.00.00- OBRIGACOES FISCAIS A CURTO PRAZO"</f>
        <v>2.1.3.00.00- OBRIGACOES FISCAIS A CURTO PRAZO</v>
      </c>
      <c r="B139" s="10">
        <v>2389294.7599999998</v>
      </c>
      <c r="C139" s="10">
        <v>-691267.94</v>
      </c>
      <c r="D139" s="10">
        <v>1698026.82</v>
      </c>
    </row>
    <row r="140" spans="1:4" x14ac:dyDescent="0.25">
      <c r="A140" s="2" t="str">
        <f>"2.1.3.01.00- IMPOSTOS E TAXAS A RECOLHER"</f>
        <v>2.1.3.01.00- IMPOSTOS E TAXAS A RECOLHER</v>
      </c>
      <c r="B140" s="10">
        <v>2389294.7599999998</v>
      </c>
      <c r="C140" s="10">
        <v>-691267.94</v>
      </c>
      <c r="D140" s="10">
        <v>1698026.82</v>
      </c>
    </row>
    <row r="141" spans="1:4" x14ac:dyDescent="0.25">
      <c r="A141" s="2" t="str">
        <f>"2.1.3.01.01- IRRF Fonte Folha Pagto"</f>
        <v>2.1.3.01.01- IRRF Fonte Folha Pagto</v>
      </c>
      <c r="B141" s="10">
        <v>1445548.61</v>
      </c>
      <c r="C141" s="10">
        <v>-731195.99</v>
      </c>
      <c r="D141" s="10">
        <v>714352.62</v>
      </c>
    </row>
    <row r="142" spans="1:4" x14ac:dyDescent="0.25">
      <c r="A142" s="2" t="str">
        <f>"2.1.3.01.03- IRRF Fonte - Pessoa  Juridica e Física"</f>
        <v>2.1.3.01.03- IRRF Fonte - Pessoa  Juridica e Física</v>
      </c>
      <c r="B142" s="10">
        <v>6597.04</v>
      </c>
      <c r="C142" s="10">
        <v>10244.77</v>
      </c>
      <c r="D142" s="10">
        <v>16841.810000000001</v>
      </c>
    </row>
    <row r="143" spans="1:4" x14ac:dyDescent="0.25">
      <c r="A143" s="2" t="str">
        <f>"2.1.3.01.04- ISS Retido Fonte PF"</f>
        <v>2.1.3.01.04- ISS Retido Fonte PF</v>
      </c>
      <c r="B143" s="10">
        <v>315</v>
      </c>
      <c r="C143" s="10">
        <v>-315</v>
      </c>
      <c r="D143" s="10">
        <v>0</v>
      </c>
    </row>
    <row r="144" spans="1:4" x14ac:dyDescent="0.25">
      <c r="A144" s="2" t="str">
        <f>"2.1.3.01.05- ISS S/ Faturamento"</f>
        <v>2.1.3.01.05- ISS S/ Faturamento</v>
      </c>
      <c r="B144" s="10">
        <v>2456.34</v>
      </c>
      <c r="C144" s="10">
        <v>-398.69</v>
      </c>
      <c r="D144" s="10">
        <v>2057.65</v>
      </c>
    </row>
    <row r="145" spans="1:4" x14ac:dyDescent="0.25">
      <c r="A145" s="2" t="str">
        <f>"2.1.3.01.07- COFINS a Recolher"</f>
        <v>2.1.3.01.07- COFINS a Recolher</v>
      </c>
      <c r="B145" s="10">
        <v>726365.73</v>
      </c>
      <c r="C145" s="10">
        <v>-9801.23</v>
      </c>
      <c r="D145" s="10">
        <v>716564.5</v>
      </c>
    </row>
    <row r="146" spans="1:4" x14ac:dyDescent="0.25">
      <c r="A146" s="2" t="str">
        <f>"2.1.3.01.08- PIS a Recolher"</f>
        <v>2.1.3.01.08- PIS a Recolher</v>
      </c>
      <c r="B146" s="10">
        <v>157528.9</v>
      </c>
      <c r="C146" s="10">
        <v>-2071.15</v>
      </c>
      <c r="D146" s="10">
        <v>155457.75</v>
      </c>
    </row>
    <row r="147" spans="1:4" x14ac:dyDescent="0.25">
      <c r="A147" s="2" t="str">
        <f>"2.1.3.01.09- ISS Fonte a Recolher P.Juridica"</f>
        <v>2.1.3.01.09- ISS Fonte a Recolher P.Juridica</v>
      </c>
      <c r="B147" s="10">
        <v>5393.69</v>
      </c>
      <c r="C147" s="10">
        <v>-394.55</v>
      </c>
      <c r="D147" s="10">
        <v>4999.1400000000003</v>
      </c>
    </row>
    <row r="148" spans="1:4" x14ac:dyDescent="0.25">
      <c r="A148" s="2" t="str">
        <f>"2.1.3.01.12- CSLL-COFINS-PIS - FONTE"</f>
        <v>2.1.3.01.12- CSLL-COFINS-PIS - FONTE</v>
      </c>
      <c r="B148" s="10">
        <v>45089.45</v>
      </c>
      <c r="C148" s="10">
        <v>42663.9</v>
      </c>
      <c r="D148" s="10">
        <v>87753.35</v>
      </c>
    </row>
    <row r="149" spans="1:4" x14ac:dyDescent="0.25">
      <c r="A149" s="2" t="str">
        <f>"2.1.4.00.00- OUTRAS OBRIGACOES A CURTO PRAZO"</f>
        <v>2.1.4.00.00- OUTRAS OBRIGACOES A CURTO PRAZO</v>
      </c>
      <c r="B149" s="10">
        <v>37327955.810000002</v>
      </c>
      <c r="C149" s="10">
        <v>3676425.85</v>
      </c>
      <c r="D149" s="10">
        <v>41004381.659999996</v>
      </c>
    </row>
    <row r="150" spans="1:4" x14ac:dyDescent="0.25">
      <c r="A150" s="2" t="str">
        <f>"2.1.4.01.00- FORNECEDORES"</f>
        <v>2.1.4.01.00- FORNECEDORES</v>
      </c>
      <c r="B150" s="10">
        <v>2265566.09</v>
      </c>
      <c r="C150" s="10">
        <v>812524.09</v>
      </c>
      <c r="D150" s="10">
        <v>3078090.18</v>
      </c>
    </row>
    <row r="151" spans="1:4" x14ac:dyDescent="0.25">
      <c r="A151" s="2" t="str">
        <f>"2.1.4.01.99- Fornecedores"</f>
        <v>2.1.4.01.99- Fornecedores</v>
      </c>
      <c r="B151" s="10">
        <v>2265566.09</v>
      </c>
      <c r="C151" s="10">
        <v>812524.09</v>
      </c>
      <c r="D151" s="10">
        <v>3078090.18</v>
      </c>
    </row>
    <row r="152" spans="1:4" x14ac:dyDescent="0.25">
      <c r="A152" s="2" t="str">
        <f>"2.1.4.02.00- CONTAS A PAGAR"</f>
        <v>2.1.4.02.00- CONTAS A PAGAR</v>
      </c>
      <c r="B152" s="10">
        <v>302201.63</v>
      </c>
      <c r="C152" s="10">
        <v>31984.97</v>
      </c>
      <c r="D152" s="10">
        <v>334186.59999999998</v>
      </c>
    </row>
    <row r="153" spans="1:4" x14ac:dyDescent="0.25">
      <c r="A153" s="2" t="str">
        <f>"2.1.4.02.01- Emprestimo Consignado - Bradesco"</f>
        <v>2.1.4.02.01- Emprestimo Consignado - Bradesco</v>
      </c>
      <c r="B153" s="10">
        <v>106804.97</v>
      </c>
      <c r="C153" s="10">
        <v>9567.49</v>
      </c>
      <c r="D153" s="10">
        <v>116372.46</v>
      </c>
    </row>
    <row r="154" spans="1:4" x14ac:dyDescent="0.25">
      <c r="A154" s="2" t="str">
        <f>"2.1.4.02.03- Emprestimo Consignado - CEF"</f>
        <v>2.1.4.02.03- Emprestimo Consignado - CEF</v>
      </c>
      <c r="B154" s="10">
        <v>31586.04</v>
      </c>
      <c r="C154" s="10">
        <v>-1504.02</v>
      </c>
      <c r="D154" s="10">
        <v>30082.02</v>
      </c>
    </row>
    <row r="155" spans="1:4" x14ac:dyDescent="0.25">
      <c r="A155" s="2" t="str">
        <f>"2.1.4.02.04- Emprestimo Consignado - B.Brasil"</f>
        <v>2.1.4.02.04- Emprestimo Consignado - B.Brasil</v>
      </c>
      <c r="B155" s="10">
        <v>51488.99</v>
      </c>
      <c r="C155" s="10">
        <v>1337.97</v>
      </c>
      <c r="D155" s="10">
        <v>52826.96</v>
      </c>
    </row>
    <row r="156" spans="1:4" x14ac:dyDescent="0.25">
      <c r="A156" s="2" t="str">
        <f>"2.1.4.02.05- Emprestimo Consignado-Banco Alfa"</f>
        <v>2.1.4.02.05- Emprestimo Consignado-Banco Alfa</v>
      </c>
      <c r="B156" s="10">
        <v>69140.960000000006</v>
      </c>
      <c r="C156" s="10">
        <v>-2033.94</v>
      </c>
      <c r="D156" s="10">
        <v>67107.02</v>
      </c>
    </row>
    <row r="157" spans="1:4" x14ac:dyDescent="0.25">
      <c r="A157" s="2" t="str">
        <f>"2.1.4.02.07- Emprestimo Consignado - B. Safra"</f>
        <v>2.1.4.02.07- Emprestimo Consignado - B. Safra</v>
      </c>
      <c r="B157" s="10">
        <v>16780.71</v>
      </c>
      <c r="C157" s="10">
        <v>1428.23</v>
      </c>
      <c r="D157" s="10">
        <v>18208.939999999999</v>
      </c>
    </row>
    <row r="158" spans="1:4" x14ac:dyDescent="0.25">
      <c r="A158" s="2" t="str">
        <f>"2.1.4.02.08- Emprestimo Consignado - BMG"</f>
        <v>2.1.4.02.08- Emprestimo Consignado - BMG</v>
      </c>
      <c r="B158" s="10">
        <v>141.55000000000001</v>
      </c>
      <c r="C158" s="10">
        <v>0</v>
      </c>
      <c r="D158" s="10">
        <v>141.55000000000001</v>
      </c>
    </row>
    <row r="159" spans="1:4" x14ac:dyDescent="0.25">
      <c r="A159" s="2" t="str">
        <f>"2.1.4.02.09- Emprestimo Consignado - BMC"</f>
        <v>2.1.4.02.09- Emprestimo Consignado - BMC</v>
      </c>
      <c r="B159" s="10">
        <v>877.23</v>
      </c>
      <c r="C159" s="10">
        <v>-569.42999999999995</v>
      </c>
      <c r="D159" s="10">
        <v>307.8</v>
      </c>
    </row>
    <row r="160" spans="1:4" x14ac:dyDescent="0.25">
      <c r="A160" s="2" t="str">
        <f>"2.1.4.02.10- Cartão - BMG Card"</f>
        <v>2.1.4.02.10- Cartão - BMG Card</v>
      </c>
      <c r="B160" s="10">
        <v>8846.5</v>
      </c>
      <c r="C160" s="10">
        <v>97.21</v>
      </c>
      <c r="D160" s="10">
        <v>8943.7099999999991</v>
      </c>
    </row>
    <row r="161" spans="1:4" x14ac:dyDescent="0.25">
      <c r="A161" s="2" t="str">
        <f>"2.1.4.02.11- Contrib.Entid.Classe"</f>
        <v>2.1.4.02.11- Contrib.Entid.Classe</v>
      </c>
      <c r="B161" s="10">
        <v>458.26</v>
      </c>
      <c r="C161" s="10">
        <v>-458.26</v>
      </c>
      <c r="D161" s="10">
        <v>0</v>
      </c>
    </row>
    <row r="162" spans="1:4" x14ac:dyDescent="0.25">
      <c r="A162" s="2" t="str">
        <f>"2.1.4.02.12- Custas judiciais"</f>
        <v>2.1.4.02.12- Custas judiciais</v>
      </c>
      <c r="B162" s="10">
        <v>0</v>
      </c>
      <c r="C162" s="10">
        <v>2134</v>
      </c>
      <c r="D162" s="10">
        <v>2134</v>
      </c>
    </row>
    <row r="163" spans="1:4" x14ac:dyDescent="0.25">
      <c r="A163" s="2" t="str">
        <f>"2.1.4.02.99- Contas a Pagar"</f>
        <v>2.1.4.02.99- Contas a Pagar</v>
      </c>
      <c r="B163" s="10">
        <v>16076.42</v>
      </c>
      <c r="C163" s="10">
        <v>21985.72</v>
      </c>
      <c r="D163" s="10">
        <v>38062.14</v>
      </c>
    </row>
    <row r="164" spans="1:4" x14ac:dyDescent="0.25">
      <c r="A164" s="2" t="str">
        <f>"2.1.4.03.00- CREDORES DIVERSOS"</f>
        <v>2.1.4.03.00- CREDORES DIVERSOS</v>
      </c>
      <c r="B164" s="10">
        <v>34201712.969999999</v>
      </c>
      <c r="C164" s="10">
        <v>2605458.08</v>
      </c>
      <c r="D164" s="10">
        <v>36807171.049999997</v>
      </c>
    </row>
    <row r="165" spans="1:4" x14ac:dyDescent="0.25">
      <c r="A165" s="2" t="str">
        <f>"2.1.4.03.07- Adiantamento Acionista - Municipio BH"</f>
        <v>2.1.4.03.07- Adiantamento Acionista - Municipio BH</v>
      </c>
      <c r="B165" s="10">
        <v>33172439.84</v>
      </c>
      <c r="C165" s="10">
        <v>2632571.9300000002</v>
      </c>
      <c r="D165" s="10">
        <v>35805011.770000003</v>
      </c>
    </row>
    <row r="166" spans="1:4" x14ac:dyDescent="0.25">
      <c r="A166" s="2" t="str">
        <f>"2.1.4.03.17- Adiantamento de Clientes"</f>
        <v>2.1.4.03.17- Adiantamento de Clientes</v>
      </c>
      <c r="B166" s="10">
        <v>1029273.13</v>
      </c>
      <c r="C166" s="10">
        <v>-27113.85</v>
      </c>
      <c r="D166" s="10">
        <v>1002159.28</v>
      </c>
    </row>
    <row r="167" spans="1:4" x14ac:dyDescent="0.25">
      <c r="A167" s="2" t="str">
        <f>"2.1.4.04.00- CAUCAO DE TERCEIROS/LEILAO"</f>
        <v>2.1.4.04.00- CAUCAO DE TERCEIROS/LEILAO</v>
      </c>
      <c r="B167" s="10">
        <v>558475.12</v>
      </c>
      <c r="C167" s="10">
        <v>226458.71</v>
      </c>
      <c r="D167" s="10">
        <v>784933.83</v>
      </c>
    </row>
    <row r="168" spans="1:4" x14ac:dyDescent="0.25">
      <c r="A168" s="2" t="str">
        <f>"2.1.4.04.98- Leilões"</f>
        <v>2.1.4.04.98- Leilões</v>
      </c>
      <c r="B168" s="10">
        <v>371865.58</v>
      </c>
      <c r="C168" s="10">
        <v>93104.86</v>
      </c>
      <c r="D168" s="10">
        <v>464970.44</v>
      </c>
    </row>
    <row r="169" spans="1:4" x14ac:dyDescent="0.25">
      <c r="A169" s="2" t="str">
        <f>"2.1.4.04.99- Caucao de Terceiros"</f>
        <v>2.1.4.04.99- Caucao de Terceiros</v>
      </c>
      <c r="B169" s="10">
        <v>186609.54</v>
      </c>
      <c r="C169" s="10">
        <v>133353.85</v>
      </c>
      <c r="D169" s="10">
        <v>319963.39</v>
      </c>
    </row>
    <row r="170" spans="1:4" x14ac:dyDescent="0.25">
      <c r="A170" s="2" t="str">
        <f>"2.1.6.00.00- OBRIGACOES VINC. A PAGAR-PAMEH"</f>
        <v>2.1.6.00.00- OBRIGACOES VINC. A PAGAR-PAMEH</v>
      </c>
      <c r="B170" s="10">
        <v>48861.72</v>
      </c>
      <c r="C170" s="10">
        <v>-5226.16</v>
      </c>
      <c r="D170" s="10">
        <v>43635.56</v>
      </c>
    </row>
    <row r="171" spans="1:4" x14ac:dyDescent="0.25">
      <c r="A171" s="2" t="str">
        <f>"2.1.6.01.00- OBRIGACOES VINC. -PAMEH"</f>
        <v>2.1.6.01.00- OBRIGACOES VINC. -PAMEH</v>
      </c>
      <c r="B171" s="10">
        <v>48861.72</v>
      </c>
      <c r="C171" s="10">
        <v>-5226.16</v>
      </c>
      <c r="D171" s="10">
        <v>43635.56</v>
      </c>
    </row>
    <row r="172" spans="1:4" x14ac:dyDescent="0.25">
      <c r="A172" s="2" t="str">
        <f>"2.1.6.01.01- Obrigacoes Vinculadas - PAMEH"</f>
        <v>2.1.6.01.01- Obrigacoes Vinculadas - PAMEH</v>
      </c>
      <c r="B172" s="10">
        <v>48861.72</v>
      </c>
      <c r="C172" s="10">
        <v>-5226.16</v>
      </c>
      <c r="D172" s="10">
        <v>43635.56</v>
      </c>
    </row>
    <row r="173" spans="1:4" x14ac:dyDescent="0.25">
      <c r="A173" s="2" t="str">
        <f>"2.2.0.00.00- PASSIVO NAO CIRCULANTE"</f>
        <v>2.2.0.00.00- PASSIVO NAO CIRCULANTE</v>
      </c>
      <c r="B173" s="10">
        <v>48072374.380000003</v>
      </c>
      <c r="C173" s="10">
        <v>-44811.48</v>
      </c>
      <c r="D173" s="10">
        <v>48027562.899999999</v>
      </c>
    </row>
    <row r="174" spans="1:4" x14ac:dyDescent="0.25">
      <c r="A174" s="2" t="str">
        <f>"2.2.4.00.00- OUTRAS OBRIGACOES A LONGO PRAZO"</f>
        <v>2.2.4.00.00- OUTRAS OBRIGACOES A LONGO PRAZO</v>
      </c>
      <c r="B174" s="10">
        <v>44594066.869999997</v>
      </c>
      <c r="C174" s="10">
        <v>0</v>
      </c>
      <c r="D174" s="10">
        <v>44594066.869999997</v>
      </c>
    </row>
    <row r="175" spans="1:4" x14ac:dyDescent="0.25">
      <c r="A175" s="2" t="str">
        <f>"2.2.4.01.00- CREDORES DIVERSOS"</f>
        <v>2.2.4.01.00- CREDORES DIVERSOS</v>
      </c>
      <c r="B175" s="10">
        <v>10868557.66</v>
      </c>
      <c r="C175" s="10">
        <v>0</v>
      </c>
      <c r="D175" s="10">
        <v>10868557.66</v>
      </c>
    </row>
    <row r="176" spans="1:4" x14ac:dyDescent="0.25">
      <c r="A176" s="2" t="str">
        <f>"2.2.4.01.04- Provisão para Contingências Fiscais"</f>
        <v>2.2.4.01.04- Provisão para Contingências Fiscais</v>
      </c>
      <c r="B176" s="10">
        <v>9926702.7200000007</v>
      </c>
      <c r="C176" s="10">
        <v>0</v>
      </c>
      <c r="D176" s="10">
        <v>9926702.7200000007</v>
      </c>
    </row>
    <row r="177" spans="1:4" x14ac:dyDescent="0.25">
      <c r="A177" s="2" t="str">
        <f>"2.2.4.01.05- INSS Segurados"</f>
        <v>2.2.4.01.05- INSS Segurados</v>
      </c>
      <c r="B177" s="10">
        <v>941854.94</v>
      </c>
      <c r="C177" s="10">
        <v>0</v>
      </c>
      <c r="D177" s="10">
        <v>941854.94</v>
      </c>
    </row>
    <row r="178" spans="1:4" x14ac:dyDescent="0.25">
      <c r="A178" s="2" t="str">
        <f>"2.2.4.04.00- ACOES JUDICIAIS E TRABALHISTAS"</f>
        <v>2.2.4.04.00- ACOES JUDICIAIS E TRABALHISTAS</v>
      </c>
      <c r="B178" s="10">
        <v>33725509.210000001</v>
      </c>
      <c r="C178" s="10">
        <v>0</v>
      </c>
      <c r="D178" s="10">
        <v>33725509.210000001</v>
      </c>
    </row>
    <row r="179" spans="1:4" x14ac:dyDescent="0.25">
      <c r="A179" s="2" t="str">
        <f>"2.2.4.04.01- Acoes judiciais"</f>
        <v>2.2.4.04.01- Acoes judiciais</v>
      </c>
      <c r="B179" s="10">
        <v>16494009.210000001</v>
      </c>
      <c r="C179" s="10">
        <v>0</v>
      </c>
      <c r="D179" s="10">
        <v>16494009.210000001</v>
      </c>
    </row>
    <row r="180" spans="1:4" x14ac:dyDescent="0.25">
      <c r="A180" s="2" t="str">
        <f>"2.2.4.04.02- Acoes trabalhistas"</f>
        <v>2.2.4.04.02- Acoes trabalhistas</v>
      </c>
      <c r="B180" s="10">
        <v>17231500</v>
      </c>
      <c r="C180" s="10">
        <v>0</v>
      </c>
      <c r="D180" s="10">
        <v>17231500</v>
      </c>
    </row>
    <row r="181" spans="1:4" x14ac:dyDescent="0.25">
      <c r="A181" s="2" t="str">
        <f>"2.2.5.00.00- OBRIGACOES VINC.  AO PAMEH"</f>
        <v>2.2.5.00.00- OBRIGACOES VINC.  AO PAMEH</v>
      </c>
      <c r="B181" s="10">
        <v>3478307.51</v>
      </c>
      <c r="C181" s="10">
        <v>-44811.48</v>
      </c>
      <c r="D181" s="10">
        <v>3433496.03</v>
      </c>
    </row>
    <row r="182" spans="1:4" x14ac:dyDescent="0.25">
      <c r="A182" s="2" t="str">
        <f>"2.2.5.01.00- OBRIGACOES VINC.  AO PAMEH"</f>
        <v>2.2.5.01.00- OBRIGACOES VINC.  AO PAMEH</v>
      </c>
      <c r="B182" s="10">
        <v>3478307.51</v>
      </c>
      <c r="C182" s="10">
        <v>-44811.48</v>
      </c>
      <c r="D182" s="10">
        <v>3433496.03</v>
      </c>
    </row>
    <row r="183" spans="1:4" x14ac:dyDescent="0.25">
      <c r="A183" s="2" t="str">
        <f>"2.2.5.01.01- Resultado Exerc.Anteriores-PAMEH"</f>
        <v>2.2.5.01.01- Resultado Exerc.Anteriores-PAMEH</v>
      </c>
      <c r="B183" s="10">
        <v>3457128.18</v>
      </c>
      <c r="C183" s="10">
        <v>21179.33</v>
      </c>
      <c r="D183" s="10">
        <v>3478307.51</v>
      </c>
    </row>
    <row r="184" spans="1:4" x14ac:dyDescent="0.25">
      <c r="A184" s="2" t="str">
        <f>"2.2.5.01.02- Resultado deste Exercicio-PAMEH"</f>
        <v>2.2.5.01.02- Resultado deste Exercicio-PAMEH</v>
      </c>
      <c r="B184" s="10">
        <v>-1568762.44</v>
      </c>
      <c r="C184" s="10">
        <v>1523950.96</v>
      </c>
      <c r="D184" s="10">
        <v>-44811.48</v>
      </c>
    </row>
    <row r="185" spans="1:4" x14ac:dyDescent="0.25">
      <c r="A185" s="2" t="str">
        <f>"2.2.5.01.03- Ajuste Exercício Anterior - PAMEH"</f>
        <v>2.2.5.01.03- Ajuste Exercício Anterior - PAMEH</v>
      </c>
      <c r="B185" s="10">
        <v>1589941.77</v>
      </c>
      <c r="C185" s="10">
        <v>-1589941.77</v>
      </c>
      <c r="D185" s="10">
        <v>0</v>
      </c>
    </row>
    <row r="186" spans="1:4" x14ac:dyDescent="0.25">
      <c r="A186" s="2" t="str">
        <f>"2.4.0.00.00- PATRIMONIO LIQUIDO"</f>
        <v>2.4.0.00.00- PATRIMONIO LIQUIDO</v>
      </c>
      <c r="B186" s="10">
        <v>-76661201.090000004</v>
      </c>
      <c r="C186" s="10">
        <v>-111290.91</v>
      </c>
      <c r="D186" s="10">
        <v>-76772492</v>
      </c>
    </row>
    <row r="187" spans="1:4" x14ac:dyDescent="0.25">
      <c r="A187" s="2" t="str">
        <f>"2.4.1.00.00- CAPITAL SOCIAL"</f>
        <v>2.4.1.00.00- CAPITAL SOCIAL</v>
      </c>
      <c r="B187" s="10">
        <v>67418193.159999996</v>
      </c>
      <c r="C187" s="10">
        <v>0</v>
      </c>
      <c r="D187" s="10">
        <v>67418193.159999996</v>
      </c>
    </row>
    <row r="188" spans="1:4" x14ac:dyDescent="0.25">
      <c r="A188" s="2" t="str">
        <f>"2.4.1.02.00- CAPITAL REALIZADO"</f>
        <v>2.4.1.02.00- CAPITAL REALIZADO</v>
      </c>
      <c r="B188" s="10">
        <v>67418193.159999996</v>
      </c>
      <c r="C188" s="10">
        <v>0</v>
      </c>
      <c r="D188" s="10">
        <v>67418193.159999996</v>
      </c>
    </row>
    <row r="189" spans="1:4" x14ac:dyDescent="0.25">
      <c r="A189" s="2" t="str">
        <f>"2.4.1.02.01- Capital Subscrito"</f>
        <v>2.4.1.02.01- Capital Subscrito</v>
      </c>
      <c r="B189" s="10">
        <v>75000000</v>
      </c>
      <c r="C189" s="10">
        <v>0</v>
      </c>
      <c r="D189" s="10">
        <v>75000000</v>
      </c>
    </row>
    <row r="190" spans="1:4" x14ac:dyDescent="0.25">
      <c r="A190" s="2" t="str">
        <f>"2.4.1.02.04- Capital a Realizar"</f>
        <v>2.4.1.02.04- Capital a Realizar</v>
      </c>
      <c r="B190" s="10">
        <v>-7581806.8399999999</v>
      </c>
      <c r="C190" s="10">
        <v>0</v>
      </c>
      <c r="D190" s="10">
        <v>-7581806.8399999999</v>
      </c>
    </row>
    <row r="191" spans="1:4" x14ac:dyDescent="0.25">
      <c r="A191" s="2" t="str">
        <f>"2.4.3.00.00- RESULTADOS ACUMULADOS"</f>
        <v>2.4.3.00.00- RESULTADOS ACUMULADOS</v>
      </c>
      <c r="B191" s="10">
        <v>-144079394.25</v>
      </c>
      <c r="C191" s="10">
        <v>-111290.91</v>
      </c>
      <c r="D191" s="10">
        <v>-144190685.16</v>
      </c>
    </row>
    <row r="192" spans="1:4" x14ac:dyDescent="0.25">
      <c r="A192" s="2" t="str">
        <f>"2.4.3.01.00- LUCROS/PREJUIZOS ACUMULADOS"</f>
        <v>2.4.3.01.00- LUCROS/PREJUIZOS ACUMULADOS</v>
      </c>
      <c r="B192" s="10">
        <v>-144079394.25</v>
      </c>
      <c r="C192" s="10">
        <v>-111290.91</v>
      </c>
      <c r="D192" s="10">
        <v>-144190685.16</v>
      </c>
    </row>
    <row r="193" spans="1:4" x14ac:dyDescent="0.25">
      <c r="A193" s="2" t="str">
        <f>"2.4.3.01.01- Resultados de Exerc. Anteriores"</f>
        <v>2.4.3.01.01- Resultados de Exerc. Anteriores</v>
      </c>
      <c r="B193" s="10">
        <v>-131329846.40000001</v>
      </c>
      <c r="C193" s="10">
        <v>-12749547.85</v>
      </c>
      <c r="D193" s="10">
        <v>-144079394.25</v>
      </c>
    </row>
    <row r="194" spans="1:4" x14ac:dyDescent="0.25">
      <c r="A194" s="2" t="str">
        <f>"2.4.3.01.02- Resultado deste Exercicio"</f>
        <v>2.4.3.01.02- Resultado deste Exercicio</v>
      </c>
      <c r="B194" s="10">
        <v>-12660814.210000001</v>
      </c>
      <c r="C194" s="10">
        <v>12660814.210000001</v>
      </c>
      <c r="D194" s="10">
        <v>0</v>
      </c>
    </row>
    <row r="195" spans="1:4" x14ac:dyDescent="0.25">
      <c r="A195" s="2" t="str">
        <f>"2.4.3.01.03- Ajuste do Exercicio Anterior"</f>
        <v>2.4.3.01.03- Ajuste do Exercicio Anterior</v>
      </c>
      <c r="B195" s="10">
        <v>-88733.64</v>
      </c>
      <c r="C195" s="10">
        <v>-22557.27</v>
      </c>
      <c r="D195" s="10">
        <v>-111290.91</v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"DESPESAS"</f>
        <v>DESPESAS</v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"3.0.0.00.00- DESPESAS"</f>
        <v>3.0.0.00.00- DESPESAS</v>
      </c>
      <c r="B204" s="10">
        <v>0</v>
      </c>
      <c r="C204" s="10">
        <v>11917022.140000001</v>
      </c>
      <c r="D204" s="10">
        <v>11917022.140000001</v>
      </c>
    </row>
    <row r="205" spans="1:4" x14ac:dyDescent="0.25">
      <c r="A205" s="2" t="str">
        <f>"3.1.0.00.00- DESPESAS OPERACIONAIS"</f>
        <v>3.1.0.00.00- DESPESAS OPERACIONAIS</v>
      </c>
      <c r="B205" s="10">
        <v>0</v>
      </c>
      <c r="C205" s="10">
        <v>11917022.140000001</v>
      </c>
      <c r="D205" s="10">
        <v>11917022.140000001</v>
      </c>
    </row>
    <row r="206" spans="1:4" x14ac:dyDescent="0.25">
      <c r="A206" s="2" t="str">
        <f>"3.1.1.00.00- SALARIOS ADICIONAIS E HONORARIOS"</f>
        <v>3.1.1.00.00- SALARIOS ADICIONAIS E HONORARIOS</v>
      </c>
      <c r="B206" s="10">
        <v>0</v>
      </c>
      <c r="C206" s="10">
        <v>6100535.7699999996</v>
      </c>
      <c r="D206" s="10">
        <v>6100535.7699999996</v>
      </c>
    </row>
    <row r="207" spans="1:4" x14ac:dyDescent="0.25">
      <c r="A207" s="2" t="str">
        <f>"3.1.1.00.01- Honorarios diretoria"</f>
        <v>3.1.1.00.01- Honorarios diretoria</v>
      </c>
      <c r="B207" s="10">
        <v>0</v>
      </c>
      <c r="C207" s="10">
        <v>89146.42</v>
      </c>
      <c r="D207" s="10">
        <v>89146.42</v>
      </c>
    </row>
    <row r="208" spans="1:4" x14ac:dyDescent="0.25">
      <c r="A208" s="2" t="str">
        <f>"3.1.1.00.02- Honorarios conselho fiscal"</f>
        <v>3.1.1.00.02- Honorarios conselho fiscal</v>
      </c>
      <c r="B208" s="10">
        <v>0</v>
      </c>
      <c r="C208" s="10">
        <v>5311.5</v>
      </c>
      <c r="D208" s="10">
        <v>5311.5</v>
      </c>
    </row>
    <row r="209" spans="1:4" x14ac:dyDescent="0.25">
      <c r="A209" s="2" t="str">
        <f>"3.1.1.00.03- Honorarios cons. administracao"</f>
        <v>3.1.1.00.03- Honorarios cons. administracao</v>
      </c>
      <c r="B209" s="10">
        <v>0</v>
      </c>
      <c r="C209" s="10">
        <v>10613.71</v>
      </c>
      <c r="D209" s="10">
        <v>10613.71</v>
      </c>
    </row>
    <row r="210" spans="1:4" x14ac:dyDescent="0.25">
      <c r="A210" s="2" t="str">
        <f>"3.1.1.00.04- Salarios e adicionais"</f>
        <v>3.1.1.00.04- Salarios e adicionais</v>
      </c>
      <c r="B210" s="10">
        <v>0</v>
      </c>
      <c r="C210" s="10">
        <v>4864825.87</v>
      </c>
      <c r="D210" s="10">
        <v>4864825.87</v>
      </c>
    </row>
    <row r="211" spans="1:4" x14ac:dyDescent="0.25">
      <c r="A211" s="2" t="str">
        <f>"3.1.1.00.05- Ferias e abono pecuniario"</f>
        <v>3.1.1.00.05- Ferias e abono pecuniario</v>
      </c>
      <c r="B211" s="10">
        <v>0</v>
      </c>
      <c r="C211" s="10">
        <v>661152.11</v>
      </c>
      <c r="D211" s="10">
        <v>661152.11</v>
      </c>
    </row>
    <row r="212" spans="1:4" x14ac:dyDescent="0.25">
      <c r="A212" s="2" t="str">
        <f>"3.1.1.00.06- Decimo terceiro salario"</f>
        <v>3.1.1.00.06- Decimo terceiro salario</v>
      </c>
      <c r="B212" s="10">
        <v>0</v>
      </c>
      <c r="C212" s="10">
        <v>452862.09</v>
      </c>
      <c r="D212" s="10">
        <v>452862.09</v>
      </c>
    </row>
    <row r="213" spans="1:4" x14ac:dyDescent="0.25">
      <c r="A213" s="2" t="str">
        <f>"3.1.1.00.07- Indenizacoes trabalhistas"</f>
        <v>3.1.1.00.07- Indenizacoes trabalhistas</v>
      </c>
      <c r="B213" s="10">
        <v>0</v>
      </c>
      <c r="C213" s="10">
        <v>3270.53</v>
      </c>
      <c r="D213" s="10">
        <v>3270.53</v>
      </c>
    </row>
    <row r="214" spans="1:4" x14ac:dyDescent="0.25">
      <c r="A214" s="2" t="str">
        <f>"3.1.1.00.08- Bolsas de estagiario"</f>
        <v>3.1.1.00.08- Bolsas de estagiario</v>
      </c>
      <c r="B214" s="10">
        <v>0</v>
      </c>
      <c r="C214" s="10">
        <v>13353.54</v>
      </c>
      <c r="D214" s="10">
        <v>13353.54</v>
      </c>
    </row>
    <row r="215" spans="1:4" x14ac:dyDescent="0.25">
      <c r="A215" s="2" t="str">
        <f>"3.1.2.01.00- ENCARGOS SOCIAIS"</f>
        <v>3.1.2.01.00- ENCARGOS SOCIAIS</v>
      </c>
      <c r="B215" s="10">
        <v>0</v>
      </c>
      <c r="C215" s="10">
        <v>2092352.69</v>
      </c>
      <c r="D215" s="10">
        <v>2092352.69</v>
      </c>
    </row>
    <row r="216" spans="1:4" x14ac:dyDescent="0.25">
      <c r="A216" s="2" t="str">
        <f>"3.1.2.01.01- INSS"</f>
        <v>3.1.2.01.01- INSS</v>
      </c>
      <c r="B216" s="10">
        <v>0</v>
      </c>
      <c r="C216" s="10">
        <v>1590438.86</v>
      </c>
      <c r="D216" s="10">
        <v>1590438.86</v>
      </c>
    </row>
    <row r="217" spans="1:4" x14ac:dyDescent="0.25">
      <c r="A217" s="2" t="str">
        <f>"3.1.2.01.02- FGTS"</f>
        <v>3.1.2.01.02- FGTS</v>
      </c>
      <c r="B217" s="10">
        <v>0</v>
      </c>
      <c r="C217" s="10">
        <v>501913.83</v>
      </c>
      <c r="D217" s="10">
        <v>501913.83</v>
      </c>
    </row>
    <row r="218" spans="1:4" x14ac:dyDescent="0.25">
      <c r="A218" s="2" t="str">
        <f>"3.1.2.02.00- OUTRAS DESPESAS COM PESSOAL"</f>
        <v>3.1.2.02.00- OUTRAS DESPESAS COM PESSOAL</v>
      </c>
      <c r="B218" s="10">
        <v>0</v>
      </c>
      <c r="C218" s="10">
        <v>1250412.78</v>
      </c>
      <c r="D218" s="10">
        <v>1250412.78</v>
      </c>
    </row>
    <row r="219" spans="1:4" x14ac:dyDescent="0.25">
      <c r="A219" s="2" t="str">
        <f>"3.1.2.02.01- Seguros de Vida"</f>
        <v>3.1.2.02.01- Seguros de Vida</v>
      </c>
      <c r="B219" s="10">
        <v>0</v>
      </c>
      <c r="C219" s="10">
        <v>35917.08</v>
      </c>
      <c r="D219" s="10">
        <v>35917.08</v>
      </c>
    </row>
    <row r="220" spans="1:4" x14ac:dyDescent="0.25">
      <c r="A220" s="2" t="str">
        <f>"3.1.2.02.02- Ass. Medica Odontologica"</f>
        <v>3.1.2.02.02- Ass. Medica Odontologica</v>
      </c>
      <c r="B220" s="10">
        <v>0</v>
      </c>
      <c r="C220" s="10">
        <v>317811.05</v>
      </c>
      <c r="D220" s="10">
        <v>317811.05</v>
      </c>
    </row>
    <row r="221" spans="1:4" x14ac:dyDescent="0.25">
      <c r="A221" s="2" t="str">
        <f>"3.1.2.02.03- Vale Transporte"</f>
        <v>3.1.2.02.03- Vale Transporte</v>
      </c>
      <c r="B221" s="10">
        <v>0</v>
      </c>
      <c r="C221" s="10">
        <v>58148.11</v>
      </c>
      <c r="D221" s="10">
        <v>58148.11</v>
      </c>
    </row>
    <row r="222" spans="1:4" x14ac:dyDescent="0.25">
      <c r="A222" s="2" t="str">
        <f>"3.1.2.02.04- Vale Refeicao/Alimentacao"</f>
        <v>3.1.2.02.04- Vale Refeicao/Alimentacao</v>
      </c>
      <c r="B222" s="10">
        <v>0</v>
      </c>
      <c r="C222" s="10">
        <v>805674.81</v>
      </c>
      <c r="D222" s="10">
        <v>805674.81</v>
      </c>
    </row>
    <row r="223" spans="1:4" x14ac:dyDescent="0.25">
      <c r="A223" s="2" t="str">
        <f>"3.1.2.02.05- Compl. Auxilio Doenca"</f>
        <v>3.1.2.02.05- Compl. Auxilio Doenca</v>
      </c>
      <c r="B223" s="10">
        <v>0</v>
      </c>
      <c r="C223" s="10">
        <v>10366.969999999999</v>
      </c>
      <c r="D223" s="10">
        <v>10366.969999999999</v>
      </c>
    </row>
    <row r="224" spans="1:4" x14ac:dyDescent="0.25">
      <c r="A224" s="2" t="str">
        <f>"3.1.2.02.06- Cursos e Treinamentos"</f>
        <v>3.1.2.02.06- Cursos e Treinamentos</v>
      </c>
      <c r="B224" s="10">
        <v>0</v>
      </c>
      <c r="C224" s="10">
        <v>1089</v>
      </c>
      <c r="D224" s="10">
        <v>1089</v>
      </c>
    </row>
    <row r="225" spans="1:4" x14ac:dyDescent="0.25">
      <c r="A225" s="2" t="str">
        <f>"3.1.2.02.07- Auxilio Creche"</f>
        <v>3.1.2.02.07- Auxilio Creche</v>
      </c>
      <c r="B225" s="10">
        <v>0</v>
      </c>
      <c r="C225" s="10">
        <v>21405.759999999998</v>
      </c>
      <c r="D225" s="10">
        <v>21405.759999999998</v>
      </c>
    </row>
    <row r="226" spans="1:4" x14ac:dyDescent="0.25">
      <c r="A226" s="2" t="str">
        <f>"3.1.3.00.00- MATERIAIS"</f>
        <v>3.1.3.00.00- MATERIAIS</v>
      </c>
      <c r="B226" s="10">
        <v>0</v>
      </c>
      <c r="C226" s="10">
        <v>106806.49</v>
      </c>
      <c r="D226" s="10">
        <v>106806.49</v>
      </c>
    </row>
    <row r="227" spans="1:4" x14ac:dyDescent="0.25">
      <c r="A227" s="2" t="str">
        <f>"3.1.3.00.01- Bens de natureza permanente"</f>
        <v>3.1.3.00.01- Bens de natureza permanente</v>
      </c>
      <c r="B227" s="10">
        <v>0</v>
      </c>
      <c r="C227" s="10">
        <v>1738.38</v>
      </c>
      <c r="D227" s="10">
        <v>1738.38</v>
      </c>
    </row>
    <row r="228" spans="1:4" x14ac:dyDescent="0.25">
      <c r="A228" s="2" t="str">
        <f>"3.1.3.00.08- Material seguranca e uniformes"</f>
        <v>3.1.3.00.08- Material seguranca e uniformes</v>
      </c>
      <c r="B228" s="10">
        <v>0</v>
      </c>
      <c r="C228" s="10">
        <v>1103.9000000000001</v>
      </c>
      <c r="D228" s="10">
        <v>1103.9000000000001</v>
      </c>
    </row>
    <row r="229" spans="1:4" x14ac:dyDescent="0.25">
      <c r="A229" s="2" t="str">
        <f>"3.1.3.00.09- Material limp/conserv/copa/cozin"</f>
        <v>3.1.3.00.09- Material limp/conserv/copa/cozin</v>
      </c>
      <c r="B229" s="10">
        <v>0</v>
      </c>
      <c r="C229" s="10">
        <v>13493.61</v>
      </c>
      <c r="D229" s="10">
        <v>13493.61</v>
      </c>
    </row>
    <row r="230" spans="1:4" x14ac:dyDescent="0.25">
      <c r="A230" s="2" t="str">
        <f>"3.1.3.00.10- Impressos e material de escritorio"</f>
        <v>3.1.3.00.10- Impressos e material de escritorio</v>
      </c>
      <c r="B230" s="10">
        <v>0</v>
      </c>
      <c r="C230" s="10">
        <v>16465.04</v>
      </c>
      <c r="D230" s="10">
        <v>16465.04</v>
      </c>
    </row>
    <row r="231" spans="1:4" x14ac:dyDescent="0.25">
      <c r="A231" s="2" t="str">
        <f>"3.1.3.00.11- Materiais manut. inst. prediais"</f>
        <v>3.1.3.00.11- Materiais manut. inst. prediais</v>
      </c>
      <c r="B231" s="10">
        <v>0</v>
      </c>
      <c r="C231" s="10">
        <v>34665.1</v>
      </c>
      <c r="D231" s="10">
        <v>34665.1</v>
      </c>
    </row>
    <row r="232" spans="1:4" x14ac:dyDescent="0.25">
      <c r="A232" s="2" t="str">
        <f>"3.1.3.00.12- Carnes estacionamento rotativo"</f>
        <v>3.1.3.00.12- Carnes estacionamento rotativo</v>
      </c>
      <c r="B232" s="10">
        <v>0</v>
      </c>
      <c r="C232" s="10">
        <v>31853.25</v>
      </c>
      <c r="D232" s="10">
        <v>31853.25</v>
      </c>
    </row>
    <row r="233" spans="1:4" x14ac:dyDescent="0.25">
      <c r="A233" s="2" t="str">
        <f>"3.1.3.00.15- Materiais e supriment informatic"</f>
        <v>3.1.3.00.15- Materiais e supriment informatic</v>
      </c>
      <c r="B233" s="10">
        <v>0</v>
      </c>
      <c r="C233" s="10">
        <v>7487.21</v>
      </c>
      <c r="D233" s="10">
        <v>7487.21</v>
      </c>
    </row>
    <row r="234" spans="1:4" x14ac:dyDescent="0.25">
      <c r="A234" s="2" t="str">
        <f>"3.1.4.00.00- SERVICOS PRESTADOS POR TERCEIROS"</f>
        <v>3.1.4.00.00- SERVICOS PRESTADOS POR TERCEIROS</v>
      </c>
      <c r="B234" s="10">
        <v>0</v>
      </c>
      <c r="C234" s="10">
        <v>1841152.51</v>
      </c>
      <c r="D234" s="10">
        <v>1841152.51</v>
      </c>
    </row>
    <row r="235" spans="1:4" x14ac:dyDescent="0.25">
      <c r="A235" s="2" t="str">
        <f>"3.1.4.00.10- Mao de obra contratada"</f>
        <v>3.1.4.00.10- Mao de obra contratada</v>
      </c>
      <c r="B235" s="10">
        <v>0</v>
      </c>
      <c r="C235" s="10">
        <v>65537.399999999994</v>
      </c>
      <c r="D235" s="10">
        <v>65537.399999999994</v>
      </c>
    </row>
    <row r="236" spans="1:4" x14ac:dyDescent="0.25">
      <c r="A236" s="2" t="str">
        <f>"3.1.4.00.13- Publicidade e divulgacao"</f>
        <v>3.1.4.00.13- Publicidade e divulgacao</v>
      </c>
      <c r="B236" s="10">
        <v>0</v>
      </c>
      <c r="C236" s="10">
        <v>11571.96</v>
      </c>
      <c r="D236" s="10">
        <v>11571.96</v>
      </c>
    </row>
    <row r="237" spans="1:4" x14ac:dyDescent="0.25">
      <c r="A237" s="2" t="str">
        <f>"3.1.4.00.14- Informatica-serv. e/ou locacao"</f>
        <v>3.1.4.00.14- Informatica-serv. e/ou locacao</v>
      </c>
      <c r="B237" s="10">
        <v>0</v>
      </c>
      <c r="C237" s="10">
        <v>80515.600000000006</v>
      </c>
      <c r="D237" s="10">
        <v>80515.600000000006</v>
      </c>
    </row>
    <row r="238" spans="1:4" x14ac:dyDescent="0.25">
      <c r="A238" s="2" t="str">
        <f>"3.1.4.00.15- Outros serv. prestados - PF"</f>
        <v>3.1.4.00.15- Outros serv. prestados - PF</v>
      </c>
      <c r="B238" s="10">
        <v>0</v>
      </c>
      <c r="C238" s="10">
        <v>7616.08</v>
      </c>
      <c r="D238" s="10">
        <v>7616.08</v>
      </c>
    </row>
    <row r="239" spans="1:4" x14ac:dyDescent="0.25">
      <c r="A239" s="2" t="str">
        <f>"3.1.4.00.16- Outros serv. Prestados - PJ"</f>
        <v>3.1.4.00.16- Outros serv. Prestados - PJ</v>
      </c>
      <c r="B239" s="10">
        <v>0</v>
      </c>
      <c r="C239" s="10">
        <v>7664.33</v>
      </c>
      <c r="D239" s="10">
        <v>7664.33</v>
      </c>
    </row>
    <row r="240" spans="1:4" x14ac:dyDescent="0.25">
      <c r="A240" s="2" t="str">
        <f>"3.1.4.00.17- Servicos postais"</f>
        <v>3.1.4.00.17- Servicos postais</v>
      </c>
      <c r="B240" s="10">
        <v>0</v>
      </c>
      <c r="C240" s="10">
        <v>3524.49</v>
      </c>
      <c r="D240" s="10">
        <v>3524.49</v>
      </c>
    </row>
    <row r="241" spans="1:4" x14ac:dyDescent="0.25">
      <c r="A241" s="2" t="str">
        <f>"3.1.4.00.18- INSS s/servicos de terceiros"</f>
        <v>3.1.4.00.18- INSS s/servicos de terceiros</v>
      </c>
      <c r="B241" s="10">
        <v>0</v>
      </c>
      <c r="C241" s="10">
        <v>2416.56</v>
      </c>
      <c r="D241" s="10">
        <v>2416.56</v>
      </c>
    </row>
    <row r="242" spans="1:4" x14ac:dyDescent="0.25">
      <c r="A242" s="2" t="str">
        <f>"3.1.4.00.19- Manut. imoveis/instal/equip.oper"</f>
        <v>3.1.4.00.19- Manut. imoveis/instal/equip.oper</v>
      </c>
      <c r="B242" s="10">
        <v>0</v>
      </c>
      <c r="C242" s="10">
        <v>35616.83</v>
      </c>
      <c r="D242" s="10">
        <v>35616.83</v>
      </c>
    </row>
    <row r="243" spans="1:4" x14ac:dyDescent="0.25">
      <c r="A243" s="2" t="str">
        <f>"3.1.4.00.26- Serv.limp.conserv."</f>
        <v>3.1.4.00.26- Serv.limp.conserv.</v>
      </c>
      <c r="B243" s="10">
        <v>0</v>
      </c>
      <c r="C243" s="10">
        <v>1545978.51</v>
      </c>
      <c r="D243" s="10">
        <v>1545978.51</v>
      </c>
    </row>
    <row r="244" spans="1:4" x14ac:dyDescent="0.25">
      <c r="A244" s="2" t="str">
        <f>"3.1.4.00.34- Comissao s/venda rotativo"</f>
        <v>3.1.4.00.34- Comissao s/venda rotativo</v>
      </c>
      <c r="B244" s="10">
        <v>0</v>
      </c>
      <c r="C244" s="10">
        <v>73886.91</v>
      </c>
      <c r="D244" s="10">
        <v>73886.91</v>
      </c>
    </row>
    <row r="245" spans="1:4" x14ac:dyDescent="0.25">
      <c r="A245" s="2" t="str">
        <f>"3.1.4.00.36- (-) Desconto ISSQN conf Lei 9145 serv. P"</f>
        <v>3.1.4.00.36- (-) Desconto ISSQN conf Lei 9145 serv. P</v>
      </c>
      <c r="B245" s="10">
        <v>0</v>
      </c>
      <c r="C245" s="10">
        <v>-19793.64</v>
      </c>
      <c r="D245" s="10">
        <v>-19793.64</v>
      </c>
    </row>
    <row r="246" spans="1:4" x14ac:dyDescent="0.25">
      <c r="A246" s="2" t="str">
        <f>"3.1.4.00.39- Convênio Guarda Municipal"</f>
        <v>3.1.4.00.39- Convênio Guarda Municipal</v>
      </c>
      <c r="B246" s="10">
        <v>0</v>
      </c>
      <c r="C246" s="10">
        <v>26617.48</v>
      </c>
      <c r="D246" s="10">
        <v>26617.48</v>
      </c>
    </row>
    <row r="247" spans="1:4" x14ac:dyDescent="0.25">
      <c r="A247" s="2" t="str">
        <f>"3.1.5.00.00- TARIFAS PUBLICAS"</f>
        <v>3.1.5.00.00- TARIFAS PUBLICAS</v>
      </c>
      <c r="B247" s="10">
        <v>0</v>
      </c>
      <c r="C247" s="10">
        <v>133169.82999999999</v>
      </c>
      <c r="D247" s="10">
        <v>133169.82999999999</v>
      </c>
    </row>
    <row r="248" spans="1:4" x14ac:dyDescent="0.25">
      <c r="A248" s="2" t="str">
        <f>"3.1.5.00.02- Energia eletrica"</f>
        <v>3.1.5.00.02- Energia eletrica</v>
      </c>
      <c r="B248" s="10">
        <v>0</v>
      </c>
      <c r="C248" s="10">
        <v>104479.42</v>
      </c>
      <c r="D248" s="10">
        <v>104479.42</v>
      </c>
    </row>
    <row r="249" spans="1:4" x14ac:dyDescent="0.25">
      <c r="A249" s="2" t="str">
        <f>"3.1.5.00.03- Telefone"</f>
        <v>3.1.5.00.03- Telefone</v>
      </c>
      <c r="B249" s="10">
        <v>0</v>
      </c>
      <c r="C249" s="10">
        <v>28690.41</v>
      </c>
      <c r="D249" s="10">
        <v>28690.41</v>
      </c>
    </row>
    <row r="250" spans="1:4" x14ac:dyDescent="0.25">
      <c r="A250" s="2" t="str">
        <f>"3.1.6.00.00- DESPESAS TRIBUTARIAS"</f>
        <v>3.1.6.00.00- DESPESAS TRIBUTARIAS</v>
      </c>
      <c r="B250" s="10">
        <v>0</v>
      </c>
      <c r="C250" s="10">
        <v>255528.24</v>
      </c>
      <c r="D250" s="10">
        <v>255528.24</v>
      </c>
    </row>
    <row r="251" spans="1:4" x14ac:dyDescent="0.25">
      <c r="A251" s="2" t="str">
        <f>"3.1.6.00.03- IOF"</f>
        <v>3.1.6.00.03- IOF</v>
      </c>
      <c r="B251" s="10">
        <v>0</v>
      </c>
      <c r="C251" s="10">
        <v>1178</v>
      </c>
      <c r="D251" s="10">
        <v>1178</v>
      </c>
    </row>
    <row r="252" spans="1:4" x14ac:dyDescent="0.25">
      <c r="A252" s="2" t="str">
        <f>"3.1.6.00.06- PIS"</f>
        <v>3.1.6.00.06- PIS</v>
      </c>
      <c r="B252" s="10">
        <v>0</v>
      </c>
      <c r="C252" s="10">
        <v>43941.91</v>
      </c>
      <c r="D252" s="10">
        <v>43941.91</v>
      </c>
    </row>
    <row r="253" spans="1:4" x14ac:dyDescent="0.25">
      <c r="A253" s="2" t="str">
        <f>"3.1.6.00.07- COFINS"</f>
        <v>3.1.6.00.07- COFINS</v>
      </c>
      <c r="B253" s="10">
        <v>0</v>
      </c>
      <c r="C253" s="10">
        <v>202399.12</v>
      </c>
      <c r="D253" s="10">
        <v>202399.12</v>
      </c>
    </row>
    <row r="254" spans="1:4" x14ac:dyDescent="0.25">
      <c r="A254" s="2" t="str">
        <f>"3.1.6.00.10- ISS s/faturamento"</f>
        <v>3.1.6.00.10- ISS s/faturamento</v>
      </c>
      <c r="B254" s="10">
        <v>0</v>
      </c>
      <c r="C254" s="10">
        <v>2057.65</v>
      </c>
      <c r="D254" s="10">
        <v>2057.65</v>
      </c>
    </row>
    <row r="255" spans="1:4" x14ac:dyDescent="0.25">
      <c r="A255" s="2" t="str">
        <f>"3.1.6.00.14- Contrib.entid.classe"</f>
        <v>3.1.6.00.14- Contrib.entid.classe</v>
      </c>
      <c r="B255" s="10">
        <v>0</v>
      </c>
      <c r="C255" s="10">
        <v>3517.08</v>
      </c>
      <c r="D255" s="10">
        <v>3517.08</v>
      </c>
    </row>
    <row r="256" spans="1:4" x14ac:dyDescent="0.25">
      <c r="A256" s="2" t="str">
        <f>"3.1.6.00.15- INSS Serv.terceiros"</f>
        <v>3.1.6.00.15- INSS Serv.terceiros</v>
      </c>
      <c r="B256" s="10">
        <v>0</v>
      </c>
      <c r="C256" s="10">
        <v>1523.21</v>
      </c>
      <c r="D256" s="10">
        <v>1523.21</v>
      </c>
    </row>
    <row r="257" spans="1:4" x14ac:dyDescent="0.25">
      <c r="A257" s="2" t="str">
        <f>"3.1.6.00.17- PIS s/ receitas financeiras"</f>
        <v>3.1.6.00.17- PIS s/ receitas financeiras</v>
      </c>
      <c r="B257" s="10">
        <v>0</v>
      </c>
      <c r="C257" s="10">
        <v>127.38</v>
      </c>
      <c r="D257" s="10">
        <v>127.38</v>
      </c>
    </row>
    <row r="258" spans="1:4" x14ac:dyDescent="0.25">
      <c r="A258" s="2" t="str">
        <f>"3.1.6.00.18- Cofins s/ receitas financeiras"</f>
        <v>3.1.6.00.18- Cofins s/ receitas financeiras</v>
      </c>
      <c r="B258" s="10">
        <v>0</v>
      </c>
      <c r="C258" s="10">
        <v>783.89</v>
      </c>
      <c r="D258" s="10">
        <v>783.89</v>
      </c>
    </row>
    <row r="259" spans="1:4" x14ac:dyDescent="0.25">
      <c r="A259" s="2" t="str">
        <f>"3.1.7.00.00- DESPESAS FINANCEIRAS"</f>
        <v>3.1.7.00.00- DESPESAS FINANCEIRAS</v>
      </c>
      <c r="B259" s="10">
        <v>0</v>
      </c>
      <c r="C259" s="10">
        <v>1552.1</v>
      </c>
      <c r="D259" s="10">
        <v>1552.1</v>
      </c>
    </row>
    <row r="260" spans="1:4" x14ac:dyDescent="0.25">
      <c r="A260" s="2" t="str">
        <f>"3.1.7.01.02- Despesas bancarias"</f>
        <v>3.1.7.01.02- Despesas bancarias</v>
      </c>
      <c r="B260" s="10">
        <v>0</v>
      </c>
      <c r="C260" s="10">
        <v>1552.1</v>
      </c>
      <c r="D260" s="10">
        <v>1552.1</v>
      </c>
    </row>
    <row r="261" spans="1:4" x14ac:dyDescent="0.25">
      <c r="A261" s="2" t="str">
        <f>"3.1.8.00.00- OUTRAS DESPESAS"</f>
        <v>3.1.8.00.00- OUTRAS DESPESAS</v>
      </c>
      <c r="B261" s="10">
        <v>0</v>
      </c>
      <c r="C261" s="10">
        <v>135511.73000000001</v>
      </c>
      <c r="D261" s="10">
        <v>135511.73000000001</v>
      </c>
    </row>
    <row r="262" spans="1:4" x14ac:dyDescent="0.25">
      <c r="A262" s="2" t="str">
        <f>"3.1.8.00.01- Despesas de viagem"</f>
        <v>3.1.8.00.01- Despesas de viagem</v>
      </c>
      <c r="B262" s="10">
        <v>0</v>
      </c>
      <c r="C262" s="10">
        <v>17933.599999999999</v>
      </c>
      <c r="D262" s="10">
        <v>17933.599999999999</v>
      </c>
    </row>
    <row r="263" spans="1:4" x14ac:dyDescent="0.25">
      <c r="A263" s="2" t="str">
        <f>"3.1.8.00.05- Depreciacao/amort"</f>
        <v>3.1.8.00.05- Depreciacao/amort</v>
      </c>
      <c r="B263" s="10">
        <v>0</v>
      </c>
      <c r="C263" s="10">
        <v>22128.02</v>
      </c>
      <c r="D263" s="10">
        <v>22128.02</v>
      </c>
    </row>
    <row r="264" spans="1:4" x14ac:dyDescent="0.25">
      <c r="A264" s="2" t="str">
        <f>"3.1.8.00.06- Seguros bens moveis e imoveis"</f>
        <v>3.1.8.00.06- Seguros bens moveis e imoveis</v>
      </c>
      <c r="B264" s="10">
        <v>0</v>
      </c>
      <c r="C264" s="10">
        <v>1159</v>
      </c>
      <c r="D264" s="10">
        <v>1159</v>
      </c>
    </row>
    <row r="265" spans="1:4" x14ac:dyDescent="0.25">
      <c r="A265" s="2" t="str">
        <f>"3.1.8.00.08- Alugueis e condominio"</f>
        <v>3.1.8.00.08- Alugueis e condominio</v>
      </c>
      <c r="B265" s="10">
        <v>0</v>
      </c>
      <c r="C265" s="10">
        <v>5071.8100000000004</v>
      </c>
      <c r="D265" s="10">
        <v>5071.8100000000004</v>
      </c>
    </row>
    <row r="266" spans="1:4" x14ac:dyDescent="0.25">
      <c r="A266" s="2" t="str">
        <f>"3.1.8.00.12- Acoes judiciais terceiros"</f>
        <v>3.1.8.00.12- Acoes judiciais terceiros</v>
      </c>
      <c r="B266" s="10">
        <v>0</v>
      </c>
      <c r="C266" s="10">
        <v>35000</v>
      </c>
      <c r="D266" s="10">
        <v>35000</v>
      </c>
    </row>
    <row r="267" spans="1:4" x14ac:dyDescent="0.25">
      <c r="A267" s="2" t="str">
        <f>"3.1.8.00.18- Provisao para perdas"</f>
        <v>3.1.8.00.18- Provisao para perdas</v>
      </c>
      <c r="B267" s="10">
        <v>0</v>
      </c>
      <c r="C267" s="10">
        <v>51603.49</v>
      </c>
      <c r="D267" s="10">
        <v>51603.49</v>
      </c>
    </row>
    <row r="268" spans="1:4" x14ac:dyDescent="0.25">
      <c r="A268" s="2" t="str">
        <f>"3.1.8.00.23- Custas/Despesas Judiciais"</f>
        <v>3.1.8.00.23- Custas/Despesas Judiciais</v>
      </c>
      <c r="B268" s="10">
        <v>0</v>
      </c>
      <c r="C268" s="10">
        <v>2630.81</v>
      </c>
      <c r="D268" s="10">
        <v>2630.81</v>
      </c>
    </row>
    <row r="269" spans="1:4" x14ac:dyDescent="0.25">
      <c r="A269" s="2" t="str">
        <f>"3.1.8.00.99- Despesas diversas"</f>
        <v>3.1.8.00.99- Despesas diversas</v>
      </c>
      <c r="B269" s="10">
        <v>0</v>
      </c>
      <c r="C269" s="10">
        <v>-15</v>
      </c>
      <c r="D269" s="10">
        <v>-15</v>
      </c>
    </row>
    <row r="270" spans="1:4" x14ac:dyDescent="0.25">
      <c r="A270" s="2" t="str">
        <f>""</f>
        <v/>
      </c>
      <c r="B270" s="3" t="str">
        <f>""</f>
        <v/>
      </c>
      <c r="C270" s="3" t="str">
        <f>""</f>
        <v/>
      </c>
      <c r="D270" s="3" t="str">
        <f>""</f>
        <v/>
      </c>
    </row>
    <row r="271" spans="1:4" x14ac:dyDescent="0.25">
      <c r="A271" s="2" t="str">
        <f>""</f>
        <v/>
      </c>
      <c r="B271" s="3" t="str">
        <f>""</f>
        <v/>
      </c>
      <c r="C271" s="3" t="str">
        <f>""</f>
        <v/>
      </c>
      <c r="D271" s="3" t="str">
        <f>""</f>
        <v/>
      </c>
    </row>
    <row r="272" spans="1:4" x14ac:dyDescent="0.25">
      <c r="A272" s="2" t="str">
        <f>""</f>
        <v/>
      </c>
      <c r="B272" s="3" t="str">
        <f>""</f>
        <v/>
      </c>
      <c r="C272" s="3" t="str">
        <f>""</f>
        <v/>
      </c>
      <c r="D272" s="3" t="str">
        <f>""</f>
        <v/>
      </c>
    </row>
    <row r="273" spans="1:4" x14ac:dyDescent="0.25">
      <c r="A273" s="2" t="str">
        <f>""</f>
        <v/>
      </c>
      <c r="B273" s="3" t="str">
        <f>""</f>
        <v/>
      </c>
      <c r="C273" s="3" t="str">
        <f>""</f>
        <v/>
      </c>
      <c r="D273" s="3" t="str">
        <f>""</f>
        <v/>
      </c>
    </row>
    <row r="274" spans="1:4" x14ac:dyDescent="0.25">
      <c r="A274" s="2" t="str">
        <f>""</f>
        <v/>
      </c>
      <c r="B274" s="3" t="str">
        <f>""</f>
        <v/>
      </c>
      <c r="C274" s="3" t="str">
        <f>""</f>
        <v/>
      </c>
      <c r="D274" s="3" t="str">
        <f>""</f>
        <v/>
      </c>
    </row>
    <row r="275" spans="1:4" x14ac:dyDescent="0.25">
      <c r="A275" s="2" t="str">
        <f>""</f>
        <v/>
      </c>
      <c r="B275" s="3" t="str">
        <f>""</f>
        <v/>
      </c>
      <c r="C275" s="3" t="str">
        <f>""</f>
        <v/>
      </c>
      <c r="D275" s="3" t="str">
        <f>""</f>
        <v/>
      </c>
    </row>
    <row r="276" spans="1:4" x14ac:dyDescent="0.25">
      <c r="A276" s="2" t="str">
        <f>""</f>
        <v/>
      </c>
      <c r="B276" s="3" t="str">
        <f>""</f>
        <v/>
      </c>
      <c r="C276" s="3" t="str">
        <f>""</f>
        <v/>
      </c>
      <c r="D276" s="3" t="str">
        <f>""</f>
        <v/>
      </c>
    </row>
    <row r="277" spans="1:4" x14ac:dyDescent="0.25">
      <c r="A277" s="2" t="str">
        <f>""</f>
        <v/>
      </c>
      <c r="B277" s="3" t="str">
        <f>""</f>
        <v/>
      </c>
      <c r="C277" s="3" t="str">
        <f>""</f>
        <v/>
      </c>
      <c r="D277" s="3" t="str">
        <f>""</f>
        <v/>
      </c>
    </row>
    <row r="278" spans="1:4" x14ac:dyDescent="0.25">
      <c r="A278" s="2" t="str">
        <f>""</f>
        <v/>
      </c>
      <c r="B278" s="3" t="str">
        <f>""</f>
        <v/>
      </c>
      <c r="C278" s="3" t="str">
        <f>""</f>
        <v/>
      </c>
      <c r="D278" s="3" t="str">
        <f>""</f>
        <v/>
      </c>
    </row>
    <row r="279" spans="1:4" x14ac:dyDescent="0.25">
      <c r="A279" s="2" t="str">
        <f>""</f>
        <v/>
      </c>
      <c r="B279" s="3" t="str">
        <f>""</f>
        <v/>
      </c>
      <c r="C279" s="3" t="str">
        <f>""</f>
        <v/>
      </c>
      <c r="D279" s="3" t="str">
        <f>""</f>
        <v/>
      </c>
    </row>
    <row r="280" spans="1:4" x14ac:dyDescent="0.25">
      <c r="A280" s="2" t="str">
        <f>"RECEITAS"</f>
        <v>RECEITAS</v>
      </c>
      <c r="B280" s="3" t="str">
        <f>""</f>
        <v/>
      </c>
      <c r="C280" s="3" t="str">
        <f>""</f>
        <v/>
      </c>
      <c r="D280" s="3" t="str">
        <f>""</f>
        <v/>
      </c>
    </row>
    <row r="281" spans="1:4" x14ac:dyDescent="0.25">
      <c r="A281" s="2" t="str">
        <f>"4.0.0.00.00- RECEITAS"</f>
        <v>4.0.0.00.00- RECEITAS</v>
      </c>
      <c r="B281" s="10">
        <v>0</v>
      </c>
      <c r="C281" s="10">
        <v>11604280.119999999</v>
      </c>
      <c r="D281" s="10">
        <v>11604280.119999999</v>
      </c>
    </row>
    <row r="282" spans="1:4" x14ac:dyDescent="0.25">
      <c r="A282" s="2" t="str">
        <f>"4.1.0.00.00- RECEITAS BHTRANS"</f>
        <v>4.1.0.00.00- RECEITAS BHTRANS</v>
      </c>
      <c r="B282" s="10">
        <v>0</v>
      </c>
      <c r="C282" s="10">
        <v>11451354.279999999</v>
      </c>
      <c r="D282" s="10">
        <v>11451354.279999999</v>
      </c>
    </row>
    <row r="283" spans="1:4" x14ac:dyDescent="0.25">
      <c r="A283" s="2" t="str">
        <f>"4.1.1.00.00- RECEITAS OPERACIONAIS"</f>
        <v>4.1.1.00.00- RECEITAS OPERACIONAIS</v>
      </c>
      <c r="B283" s="10">
        <v>0</v>
      </c>
      <c r="C283" s="10">
        <v>11382167.75</v>
      </c>
      <c r="D283" s="10">
        <v>11382167.75</v>
      </c>
    </row>
    <row r="284" spans="1:4" x14ac:dyDescent="0.25">
      <c r="A284" s="2" t="str">
        <f>"4.1.1.00.05- Midia taxi, escolar e suplementar"</f>
        <v>4.1.1.00.05- Midia taxi, escolar e suplementar</v>
      </c>
      <c r="B284" s="10">
        <v>0</v>
      </c>
      <c r="C284" s="10">
        <v>4504.18</v>
      </c>
      <c r="D284" s="10">
        <v>4504.18</v>
      </c>
    </row>
    <row r="285" spans="1:4" x14ac:dyDescent="0.25">
      <c r="A285" s="2" t="str">
        <f>"4.1.1.00.06- Midia em onibus"</f>
        <v>4.1.1.00.06- Midia em onibus</v>
      </c>
      <c r="B285" s="10">
        <v>0</v>
      </c>
      <c r="C285" s="10">
        <v>56388.56</v>
      </c>
      <c r="D285" s="10">
        <v>56388.56</v>
      </c>
    </row>
    <row r="286" spans="1:4" x14ac:dyDescent="0.25">
      <c r="A286" s="2" t="str">
        <f>"4.1.1.00.07- Midias diversas"</f>
        <v>4.1.1.00.07- Midias diversas</v>
      </c>
      <c r="B286" s="10">
        <v>0</v>
      </c>
      <c r="C286" s="10">
        <v>7625.67</v>
      </c>
      <c r="D286" s="10">
        <v>7625.67</v>
      </c>
    </row>
    <row r="287" spans="1:4" x14ac:dyDescent="0.25">
      <c r="A287" s="2" t="str">
        <f>"4.1.1.00.08- Estacionamento Rotativo"</f>
        <v>4.1.1.00.08- Estacionamento Rotativo</v>
      </c>
      <c r="B287" s="10">
        <v>0</v>
      </c>
      <c r="C287" s="10">
        <v>1841210.8</v>
      </c>
      <c r="D287" s="10">
        <v>1841210.8</v>
      </c>
    </row>
    <row r="288" spans="1:4" x14ac:dyDescent="0.25">
      <c r="A288" s="2" t="str">
        <f>"4.1.1.00.10- Transf. financeira PBH"</f>
        <v>4.1.1.00.10- Transf. financeira PBH</v>
      </c>
      <c r="B288" s="10">
        <v>0</v>
      </c>
      <c r="C288" s="10">
        <v>8921536.5500000007</v>
      </c>
      <c r="D288" s="10">
        <v>8921536.5500000007</v>
      </c>
    </row>
    <row r="289" spans="1:4" x14ac:dyDescent="0.25">
      <c r="A289" s="2" t="str">
        <f>"4.1.1.00.16- Multas transporte coletivo"</f>
        <v>4.1.1.00.16- Multas transporte coletivo</v>
      </c>
      <c r="B289" s="10">
        <v>0</v>
      </c>
      <c r="C289" s="10">
        <v>516034.9</v>
      </c>
      <c r="D289" s="10">
        <v>516034.9</v>
      </c>
    </row>
    <row r="290" spans="1:4" x14ac:dyDescent="0.25">
      <c r="A290" s="2" t="str">
        <f>"4.1.1.00.17- Multas transporte publico"</f>
        <v>4.1.1.00.17- Multas transporte publico</v>
      </c>
      <c r="B290" s="10">
        <v>0</v>
      </c>
      <c r="C290" s="10">
        <v>31196.959999999999</v>
      </c>
      <c r="D290" s="10">
        <v>31196.959999999999</v>
      </c>
    </row>
    <row r="291" spans="1:4" x14ac:dyDescent="0.25">
      <c r="A291" s="2" t="str">
        <f>"4.1.1.00.19- Subconcessao frotas de taxi"</f>
        <v>4.1.1.00.19- Subconcessao frotas de taxi</v>
      </c>
      <c r="B291" s="10">
        <v>0</v>
      </c>
      <c r="C291" s="10">
        <v>3670.13</v>
      </c>
      <c r="D291" s="10">
        <v>3670.13</v>
      </c>
    </row>
    <row r="292" spans="1:4" x14ac:dyDescent="0.25">
      <c r="A292" s="2" t="str">
        <f>"4.1.8.00.00- RECEITAS ALUGUEIS ESTACOES"</f>
        <v>4.1.8.00.00- RECEITAS ALUGUEIS ESTACOES</v>
      </c>
      <c r="B292" s="10">
        <v>0</v>
      </c>
      <c r="C292" s="10">
        <v>69186.53</v>
      </c>
      <c r="D292" s="10">
        <v>69186.53</v>
      </c>
    </row>
    <row r="293" spans="1:4" x14ac:dyDescent="0.25">
      <c r="A293" s="2" t="str">
        <f>"4.1.8.00.01- Alugueis Estacoes"</f>
        <v>4.1.8.00.01- Alugueis Estacoes</v>
      </c>
      <c r="B293" s="10">
        <v>0</v>
      </c>
      <c r="C293" s="10">
        <v>69186.53</v>
      </c>
      <c r="D293" s="10">
        <v>69186.53</v>
      </c>
    </row>
    <row r="294" spans="1:4" x14ac:dyDescent="0.25">
      <c r="A294" s="2" t="str">
        <f>"4.2.0.00.00- RECEITAS FINANCEIRAS"</f>
        <v>4.2.0.00.00- RECEITAS FINANCEIRAS</v>
      </c>
      <c r="B294" s="10">
        <v>0</v>
      </c>
      <c r="C294" s="10">
        <v>19597.310000000001</v>
      </c>
      <c r="D294" s="10">
        <v>19597.310000000001</v>
      </c>
    </row>
    <row r="295" spans="1:4" x14ac:dyDescent="0.25">
      <c r="A295" s="2" t="str">
        <f>"4.2.1.00.00- RECEITAS FINANCEIRAS"</f>
        <v>4.2.1.00.00- RECEITAS FINANCEIRAS</v>
      </c>
      <c r="B295" s="10">
        <v>0</v>
      </c>
      <c r="C295" s="10">
        <v>19535.47</v>
      </c>
      <c r="D295" s="10">
        <v>19535.47</v>
      </c>
    </row>
    <row r="296" spans="1:4" x14ac:dyDescent="0.25">
      <c r="A296" s="2" t="str">
        <f>"4.2.1.00.01- Rendimentos aplic. Financeira"</f>
        <v>4.2.1.00.01- Rendimentos aplic. Financeira</v>
      </c>
      <c r="B296" s="10">
        <v>0</v>
      </c>
      <c r="C296" s="10">
        <v>19149.849999999999</v>
      </c>
      <c r="D296" s="10">
        <v>19149.849999999999</v>
      </c>
    </row>
    <row r="297" spans="1:4" x14ac:dyDescent="0.25">
      <c r="A297" s="2" t="str">
        <f>"4.2.1.00.02- Juros ativos"</f>
        <v>4.2.1.00.02- Juros ativos</v>
      </c>
      <c r="B297" s="10">
        <v>0</v>
      </c>
      <c r="C297" s="10">
        <v>385.62</v>
      </c>
      <c r="D297" s="10">
        <v>385.62</v>
      </c>
    </row>
    <row r="298" spans="1:4" x14ac:dyDescent="0.25">
      <c r="A298" s="2" t="str">
        <f>"4.2.2.00.00- VARIACOES MONETARIAS ATIVAS"</f>
        <v>4.2.2.00.00- VARIACOES MONETARIAS ATIVAS</v>
      </c>
      <c r="B298" s="10">
        <v>0</v>
      </c>
      <c r="C298" s="10">
        <v>61.84</v>
      </c>
      <c r="D298" s="10">
        <v>61.84</v>
      </c>
    </row>
    <row r="299" spans="1:4" x14ac:dyDescent="0.25">
      <c r="A299" s="2" t="str">
        <f>"4.2.2.00.01- Variações monetárias ativas"</f>
        <v>4.2.2.00.01- Variações monetárias ativas</v>
      </c>
      <c r="B299" s="10">
        <v>0</v>
      </c>
      <c r="C299" s="10">
        <v>61.84</v>
      </c>
      <c r="D299" s="10">
        <v>61.84</v>
      </c>
    </row>
    <row r="300" spans="1:4" x14ac:dyDescent="0.25">
      <c r="A300" s="2" t="str">
        <f>"4.3.0.00.00- OUTRAS RECEITAS"</f>
        <v>4.3.0.00.00- OUTRAS RECEITAS</v>
      </c>
      <c r="B300" s="10">
        <v>0</v>
      </c>
      <c r="C300" s="10">
        <v>133328.53</v>
      </c>
      <c r="D300" s="10">
        <v>133328.53</v>
      </c>
    </row>
    <row r="301" spans="1:4" x14ac:dyDescent="0.25">
      <c r="A301" s="2" t="str">
        <f>"4.3.1.00.00- OUTRAS RECEITAS"</f>
        <v>4.3.1.00.00- OUTRAS RECEITAS</v>
      </c>
      <c r="B301" s="10">
        <v>0</v>
      </c>
      <c r="C301" s="10">
        <v>133328.53</v>
      </c>
      <c r="D301" s="10">
        <v>133328.53</v>
      </c>
    </row>
    <row r="302" spans="1:4" x14ac:dyDescent="0.25">
      <c r="A302" s="2" t="str">
        <f>"4.3.1.00.04- Receitas Diversas"</f>
        <v>4.3.1.00.04- Receitas Diversas</v>
      </c>
      <c r="B302" s="10">
        <v>0</v>
      </c>
      <c r="C302" s="10">
        <v>133328.53</v>
      </c>
      <c r="D302" s="10">
        <v>133328.53</v>
      </c>
    </row>
    <row r="303" spans="1:4" x14ac:dyDescent="0.25">
      <c r="A303" s="2" t="str">
        <f>""</f>
        <v/>
      </c>
      <c r="B303" s="3" t="str">
        <f>""</f>
        <v/>
      </c>
      <c r="C303" s="3" t="str">
        <f>""</f>
        <v/>
      </c>
      <c r="D303" s="3" t="str">
        <f>""</f>
        <v/>
      </c>
    </row>
    <row r="304" spans="1:4" x14ac:dyDescent="0.25">
      <c r="A304" s="2" t="str">
        <f>""</f>
        <v/>
      </c>
      <c r="B304" s="3" t="str">
        <f>""</f>
        <v/>
      </c>
      <c r="C304" s="3" t="str">
        <f>""</f>
        <v/>
      </c>
      <c r="D304" s="3" t="str">
        <f>""</f>
        <v/>
      </c>
    </row>
    <row r="305" spans="1:4" x14ac:dyDescent="0.25">
      <c r="A305" s="2" t="str">
        <f>""</f>
        <v/>
      </c>
      <c r="B305" s="3" t="str">
        <f>""</f>
        <v/>
      </c>
      <c r="C305" s="3" t="str">
        <f>""</f>
        <v/>
      </c>
      <c r="D305" s="3" t="str">
        <f>""</f>
        <v/>
      </c>
    </row>
    <row r="306" spans="1:4" x14ac:dyDescent="0.25">
      <c r="A306" s="2" t="str">
        <f>""</f>
        <v/>
      </c>
      <c r="B306" s="3" t="str">
        <f>""</f>
        <v/>
      </c>
      <c r="C306" s="3" t="str">
        <f>""</f>
        <v/>
      </c>
      <c r="D306" s="3" t="str">
        <f>""</f>
        <v/>
      </c>
    </row>
    <row r="307" spans="1:4" x14ac:dyDescent="0.25">
      <c r="A307" s="2" t="str">
        <f>""</f>
        <v/>
      </c>
      <c r="B307" s="3" t="str">
        <f>""</f>
        <v/>
      </c>
      <c r="C307" s="3" t="str">
        <f>""</f>
        <v/>
      </c>
      <c r="D307" s="3" t="str">
        <f>""</f>
        <v/>
      </c>
    </row>
    <row r="308" spans="1:4" x14ac:dyDescent="0.25">
      <c r="A308" s="2" t="str">
        <f>""</f>
        <v/>
      </c>
      <c r="B308" s="3" t="str">
        <f>""</f>
        <v/>
      </c>
      <c r="C308" s="3" t="str">
        <f>""</f>
        <v/>
      </c>
      <c r="D308" s="3" t="str">
        <f>""</f>
        <v/>
      </c>
    </row>
    <row r="309" spans="1:4" x14ac:dyDescent="0.25">
      <c r="A309" s="2" t="str">
        <f>""</f>
        <v/>
      </c>
      <c r="B309" s="3" t="str">
        <f>""</f>
        <v/>
      </c>
      <c r="C309" s="3" t="str">
        <f>""</f>
        <v/>
      </c>
      <c r="D309" s="3" t="str">
        <f>""</f>
        <v/>
      </c>
    </row>
    <row r="310" spans="1:4" x14ac:dyDescent="0.25">
      <c r="A310" s="2" t="str">
        <f>""</f>
        <v/>
      </c>
      <c r="B310" s="3" t="str">
        <f>""</f>
        <v/>
      </c>
      <c r="C310" s="3" t="str">
        <f>""</f>
        <v/>
      </c>
      <c r="D310" s="3" t="str">
        <f>""</f>
        <v/>
      </c>
    </row>
    <row r="311" spans="1:4" x14ac:dyDescent="0.25">
      <c r="A311" s="2" t="str">
        <f>""</f>
        <v/>
      </c>
      <c r="B311" s="3" t="str">
        <f>""</f>
        <v/>
      </c>
      <c r="C311" s="3" t="str">
        <f>""</f>
        <v/>
      </c>
      <c r="D311" s="3" t="str">
        <f>""</f>
        <v/>
      </c>
    </row>
    <row r="312" spans="1:4" x14ac:dyDescent="0.25">
      <c r="A312" s="2" t="str">
        <f>""</f>
        <v/>
      </c>
      <c r="B312" s="3" t="str">
        <f>""</f>
        <v/>
      </c>
      <c r="C312" s="3" t="str">
        <f>""</f>
        <v/>
      </c>
      <c r="D312" s="3" t="str">
        <f>""</f>
        <v/>
      </c>
    </row>
    <row r="313" spans="1:4" x14ac:dyDescent="0.25">
      <c r="A313" s="2" t="str">
        <f>""</f>
        <v/>
      </c>
      <c r="B313" s="3" t="str">
        <f>""</f>
        <v/>
      </c>
      <c r="C313" s="3" t="str">
        <f>""</f>
        <v/>
      </c>
      <c r="D313" s="3" t="str">
        <f>""</f>
        <v/>
      </c>
    </row>
    <row r="314" spans="1:4" x14ac:dyDescent="0.25">
      <c r="A314" s="2" t="str">
        <f>""</f>
        <v/>
      </c>
      <c r="B314" s="3" t="str">
        <f>""</f>
        <v/>
      </c>
      <c r="C314" s="3" t="str">
        <f>""</f>
        <v/>
      </c>
      <c r="D314" s="3" t="str">
        <f>""</f>
        <v/>
      </c>
    </row>
    <row r="315" spans="1:4" x14ac:dyDescent="0.25">
      <c r="A315" s="2" t="str">
        <f>""</f>
        <v/>
      </c>
      <c r="B315" s="3" t="str">
        <f>""</f>
        <v/>
      </c>
      <c r="C315" s="3" t="str">
        <f>""</f>
        <v/>
      </c>
      <c r="D315" s="3" t="str">
        <f>""</f>
        <v/>
      </c>
    </row>
    <row r="316" spans="1:4" x14ac:dyDescent="0.25">
      <c r="A316" s="2" t="str">
        <f>""</f>
        <v/>
      </c>
      <c r="B316" s="3" t="str">
        <f>""</f>
        <v/>
      </c>
      <c r="C316" s="3" t="str">
        <f>""</f>
        <v/>
      </c>
      <c r="D316" s="3" t="str">
        <f>""</f>
        <v/>
      </c>
    </row>
    <row r="317" spans="1:4" x14ac:dyDescent="0.25">
      <c r="A317" s="2" t="str">
        <f>""</f>
        <v/>
      </c>
      <c r="B317" s="3" t="str">
        <f>""</f>
        <v/>
      </c>
      <c r="C317" s="3" t="str">
        <f>""</f>
        <v/>
      </c>
      <c r="D317" s="3" t="str">
        <f>""</f>
        <v/>
      </c>
    </row>
    <row r="318" spans="1:4" x14ac:dyDescent="0.25">
      <c r="A318" s="2" t="str">
        <f>""</f>
        <v/>
      </c>
      <c r="B318" s="3" t="str">
        <f>""</f>
        <v/>
      </c>
      <c r="C318" s="3" t="str">
        <f>""</f>
        <v/>
      </c>
      <c r="D318" s="3" t="str">
        <f>""</f>
        <v/>
      </c>
    </row>
    <row r="319" spans="1:4" x14ac:dyDescent="0.25">
      <c r="A319" s="2" t="str">
        <f>""</f>
        <v/>
      </c>
      <c r="B319" s="3" t="str">
        <f>""</f>
        <v/>
      </c>
      <c r="C319" s="3" t="str">
        <f>""</f>
        <v/>
      </c>
      <c r="D319" s="3" t="str">
        <f>""</f>
        <v/>
      </c>
    </row>
    <row r="320" spans="1:4" x14ac:dyDescent="0.25">
      <c r="A320" s="2" t="str">
        <f>""</f>
        <v/>
      </c>
      <c r="B320" s="3" t="str">
        <f>""</f>
        <v/>
      </c>
      <c r="C320" s="3" t="str">
        <f>""</f>
        <v/>
      </c>
      <c r="D320" s="3" t="str">
        <f>""</f>
        <v/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ht="15.75" thickBot="1" x14ac:dyDescent="0.3">
      <c r="A327" s="4" t="str">
        <f>"APURACAO DE RESULTADOS"</f>
        <v>APURACAO DE RESULTADOS</v>
      </c>
      <c r="B327" s="5" t="str">
        <f>""</f>
        <v/>
      </c>
      <c r="C327" s="5" t="str">
        <f>""</f>
        <v/>
      </c>
      <c r="D327" s="5" t="str">
        <f>""</f>
        <v/>
      </c>
    </row>
    <row r="328" spans="1:4" x14ac:dyDescent="0.25">
      <c r="A328" t="s">
        <v>5</v>
      </c>
    </row>
  </sheetData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"/>
  <sheetViews>
    <sheetView workbookViewId="0">
      <selection activeCell="D1" sqref="D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14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50692398.109999999</v>
      </c>
      <c r="C4" s="10">
        <v>2718233.77</v>
      </c>
      <c r="D4" s="10">
        <v>53410631.880000003</v>
      </c>
    </row>
    <row r="5" spans="1:4" x14ac:dyDescent="0.25">
      <c r="A5" s="2" t="str">
        <f>"1.1.0.00.00- ATIVO CIRCULANTE"</f>
        <v>1.1.0.00.00- ATIVO CIRCULANTE</v>
      </c>
      <c r="B5" s="10">
        <v>27396742.940000001</v>
      </c>
      <c r="C5" s="10">
        <v>1705961.9</v>
      </c>
      <c r="D5" s="10">
        <v>29102704.84</v>
      </c>
    </row>
    <row r="6" spans="1:4" x14ac:dyDescent="0.25">
      <c r="A6" s="2" t="str">
        <f>"1.1.1.00.00- DISPONIVEL"</f>
        <v>1.1.1.00.00- DISPONIVEL</v>
      </c>
      <c r="B6" s="10">
        <v>15111152.6</v>
      </c>
      <c r="C6" s="10">
        <v>1426436.55</v>
      </c>
      <c r="D6" s="10">
        <v>16537589.15</v>
      </c>
    </row>
    <row r="7" spans="1:4" x14ac:dyDescent="0.25">
      <c r="A7" s="2" t="str">
        <f>"1.1.1.01.00- CAIXA GERAL"</f>
        <v>1.1.1.01.00- CAIXA GERAL</v>
      </c>
      <c r="B7" s="10">
        <v>1729.99</v>
      </c>
      <c r="C7" s="10">
        <v>-1120</v>
      </c>
      <c r="D7" s="10">
        <v>609.99</v>
      </c>
    </row>
    <row r="8" spans="1:4" x14ac:dyDescent="0.25">
      <c r="A8" s="2" t="str">
        <f>"1.1.1.01.04- Caixa - Georf"</f>
        <v>1.1.1.01.04- Caixa - Georf</v>
      </c>
      <c r="B8" s="10">
        <v>520</v>
      </c>
      <c r="C8" s="10">
        <v>-520</v>
      </c>
      <c r="D8" s="10">
        <v>0</v>
      </c>
    </row>
    <row r="9" spans="1:4" x14ac:dyDescent="0.25">
      <c r="A9" s="2" t="str">
        <f>"1.1.1.01.08- Caixa - AJU"</f>
        <v>1.1.1.01.08- Caixa - AJU</v>
      </c>
      <c r="B9" s="10">
        <v>-0.01</v>
      </c>
      <c r="C9" s="10">
        <v>0</v>
      </c>
      <c r="D9" s="10">
        <v>-0.01</v>
      </c>
    </row>
    <row r="10" spans="1:4" x14ac:dyDescent="0.25">
      <c r="A10" s="2" t="str">
        <f>"1.1.1.01.09- Caixa - GEAMP"</f>
        <v>1.1.1.01.09- Caixa - GEAMP</v>
      </c>
      <c r="B10" s="10">
        <v>1210</v>
      </c>
      <c r="C10" s="10">
        <v>-600</v>
      </c>
      <c r="D10" s="10">
        <v>610</v>
      </c>
    </row>
    <row r="11" spans="1:4" x14ac:dyDescent="0.25">
      <c r="A11" s="2" t="str">
        <f>"1.1.1.02.00- BANCOS C/MOVIMENTO"</f>
        <v>1.1.1.02.00- BANCOS C/MOVIMENTO</v>
      </c>
      <c r="B11" s="10">
        <v>237203.46</v>
      </c>
      <c r="C11" s="10">
        <v>235757.84</v>
      </c>
      <c r="D11" s="10">
        <v>472961.3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411.64</v>
      </c>
      <c r="C12" s="10">
        <v>-377.7</v>
      </c>
      <c r="D12" s="10">
        <v>33.94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28424.77</v>
      </c>
      <c r="C13" s="10">
        <v>148347.85999999999</v>
      </c>
      <c r="D13" s="10">
        <v>176772.63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0</v>
      </c>
      <c r="C14" s="10">
        <v>567.24</v>
      </c>
      <c r="D14" s="10">
        <v>567.24</v>
      </c>
    </row>
    <row r="15" spans="1:4" x14ac:dyDescent="0.25">
      <c r="A15" s="2" t="str">
        <f>"1.1.1.02.32- Caixa Econômica Federal - 3292-3 Leilão"</f>
        <v>1.1.1.02.32- Caixa Econômica Federal - 3292-3 Leilão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4616</v>
      </c>
      <c r="C17" s="10">
        <v>-4616</v>
      </c>
      <c r="D17" s="10">
        <v>0</v>
      </c>
    </row>
    <row r="18" spans="1:4" x14ac:dyDescent="0.25">
      <c r="A18" s="2" t="str">
        <f>"1.1.1.02.41- Caixa Econômica Federal - 3303-2Rotativo"</f>
        <v>1.1.1.02.41- Caixa Econômica Federal - 3303-2Rotativo</v>
      </c>
      <c r="B18" s="10">
        <v>201833.05</v>
      </c>
      <c r="C18" s="10">
        <v>91350.44</v>
      </c>
      <c r="D18" s="10">
        <v>293183.49</v>
      </c>
    </row>
    <row r="19" spans="1:4" x14ac:dyDescent="0.25">
      <c r="A19" s="2" t="str">
        <f>"1.1.1.02.46- Caixa Econômica Federal - 3309-1 Rot int"</f>
        <v>1.1.1.02.46- Caixa Econômica Federal - 3309-1 Rot int</v>
      </c>
      <c r="B19" s="10">
        <v>1716</v>
      </c>
      <c r="C19" s="10">
        <v>528</v>
      </c>
      <c r="D19" s="10">
        <v>2244</v>
      </c>
    </row>
    <row r="20" spans="1:4" x14ac:dyDescent="0.25">
      <c r="A20" s="2" t="str">
        <f>"1.1.1.02.51- Caixa Econômica Federal -3501-9Leillão17"</f>
        <v>1.1.1.02.51- Caixa Econômica Federal -3501-9Leillão17</v>
      </c>
      <c r="B20" s="10">
        <v>42</v>
      </c>
      <c r="C20" s="10">
        <v>-42</v>
      </c>
      <c r="D20" s="10">
        <v>0</v>
      </c>
    </row>
    <row r="21" spans="1:4" x14ac:dyDescent="0.25">
      <c r="A21" s="2" t="str">
        <f>"1.1.1.03.00- APLICACOES FINANCEIRAS"</f>
        <v>1.1.1.03.00- APLICACOES FINANCEIRAS</v>
      </c>
      <c r="B21" s="10">
        <v>13473241.6</v>
      </c>
      <c r="C21" s="10">
        <v>1349326.13</v>
      </c>
      <c r="D21" s="10">
        <v>14822567.73</v>
      </c>
    </row>
    <row r="22" spans="1:4" x14ac:dyDescent="0.25">
      <c r="A22" s="2" t="str">
        <f>"1.1.1.03.23- Caixa Econômica Federal - 3291-5"</f>
        <v>1.1.1.03.23- Caixa Econômica Federal - 3291-5</v>
      </c>
      <c r="B22" s="10">
        <v>12209479.869999999</v>
      </c>
      <c r="C22" s="10">
        <v>1407832.27</v>
      </c>
      <c r="D22" s="10">
        <v>13617312.140000001</v>
      </c>
    </row>
    <row r="23" spans="1:4" x14ac:dyDescent="0.25">
      <c r="A23" s="2" t="str">
        <f>"1.1.1.03.25- Caixa Econômica Federal - 3292-3 Leilão"</f>
        <v>1.1.1.03.25- Caixa Econômica Federal - 3292-3 Leilão</v>
      </c>
      <c r="B23" s="10">
        <v>75144.61</v>
      </c>
      <c r="C23" s="10">
        <v>383.95</v>
      </c>
      <c r="D23" s="10">
        <v>75528.56</v>
      </c>
    </row>
    <row r="24" spans="1:4" x14ac:dyDescent="0.25">
      <c r="A24" s="2" t="str">
        <f>"1.1.1.03.26- Caixa Econômica Federal - 3295-8Leilão13"</f>
        <v>1.1.1.03.26- Caixa Econômica Federal - 3295-8Leilão13</v>
      </c>
      <c r="B24" s="10">
        <v>205796.29</v>
      </c>
      <c r="C24" s="10">
        <v>1051.5</v>
      </c>
      <c r="D24" s="10">
        <v>206847.79</v>
      </c>
    </row>
    <row r="25" spans="1:4" x14ac:dyDescent="0.25">
      <c r="A25" s="2" t="str">
        <f>"1.1.1.03.29- Caixa Econômica Federal - 3298-2Leilão15"</f>
        <v>1.1.1.03.29- Caixa Econômica Federal - 3298-2Leilão15</v>
      </c>
      <c r="B25" s="10">
        <v>102335.87</v>
      </c>
      <c r="C25" s="10">
        <v>430.68</v>
      </c>
      <c r="D25" s="10">
        <v>102766.55</v>
      </c>
    </row>
    <row r="26" spans="1:4" x14ac:dyDescent="0.25">
      <c r="A26" s="2" t="str">
        <f>"1.1.1.03.30- Caixa Econômica Federal - 3299-0Leilão16"</f>
        <v>1.1.1.03.30- Caixa Econômica Federal - 3299-0Leilão16</v>
      </c>
      <c r="B26" s="10">
        <v>129445.37</v>
      </c>
      <c r="C26" s="10">
        <v>661.39</v>
      </c>
      <c r="D26" s="10">
        <v>130106.76</v>
      </c>
    </row>
    <row r="27" spans="1:4" x14ac:dyDescent="0.25">
      <c r="A27" s="2" t="str">
        <f>"1.1.1.03.31- Caixa Econômica Federal - 3300-8Leilão16"</f>
        <v>1.1.1.03.31- Caixa Econômica Federal - 3300-8Leilão16</v>
      </c>
      <c r="B27" s="10">
        <v>46236.82</v>
      </c>
      <c r="C27" s="10">
        <v>194.59</v>
      </c>
      <c r="D27" s="10">
        <v>46431.41</v>
      </c>
    </row>
    <row r="28" spans="1:4" x14ac:dyDescent="0.25">
      <c r="A28" s="2" t="str">
        <f>"1.1.1.03.32- Caixa Econômica - 3301-6 Mídia"</f>
        <v>1.1.1.03.32- Caixa Econômica - 3301-6 Mídia</v>
      </c>
      <c r="B28" s="10">
        <v>85949.52</v>
      </c>
      <c r="C28" s="10">
        <v>5087.32</v>
      </c>
      <c r="D28" s="10">
        <v>91036.84</v>
      </c>
    </row>
    <row r="29" spans="1:4" x14ac:dyDescent="0.25">
      <c r="A29" s="2" t="str">
        <f>"1.1.1.03.35- Caixa Econômica - 3304-0Caução"</f>
        <v>1.1.1.03.35- Caixa Econômica - 3304-0Caução</v>
      </c>
      <c r="B29" s="10">
        <v>218751.12</v>
      </c>
      <c r="C29" s="10">
        <v>1008.13</v>
      </c>
      <c r="D29" s="10">
        <v>219759.25</v>
      </c>
    </row>
    <row r="30" spans="1:4" x14ac:dyDescent="0.25">
      <c r="A30" s="2" t="str">
        <f>"1.1.1.03.36- Caixa Econômica - 3305-9Sucumb."</f>
        <v>1.1.1.03.36- Caixa Econômica - 3305-9Sucumb.</v>
      </c>
      <c r="B30" s="10">
        <v>9577.7099999999991</v>
      </c>
      <c r="C30" s="10">
        <v>39.36</v>
      </c>
      <c r="D30" s="10">
        <v>9617.07</v>
      </c>
    </row>
    <row r="31" spans="1:4" x14ac:dyDescent="0.25">
      <c r="A31" s="2" t="str">
        <f>"1.1.1.03.38- Caixa Econômica - 3308-3Leilão"</f>
        <v>1.1.1.03.38- Caixa Econômica - 3308-3Leilão</v>
      </c>
      <c r="B31" s="10">
        <v>2207.84</v>
      </c>
      <c r="C31" s="10">
        <v>9.07</v>
      </c>
      <c r="D31" s="10">
        <v>2216.91</v>
      </c>
    </row>
    <row r="32" spans="1:4" x14ac:dyDescent="0.25">
      <c r="A32" s="2" t="str">
        <f>"1.1.1.03.41- Caixa Econômica - 531-0 Aci moto poupanç"</f>
        <v>1.1.1.03.41- Caixa Econômica - 531-0 Aci moto poupanç</v>
      </c>
      <c r="B32" s="10">
        <v>0.02</v>
      </c>
      <c r="C32" s="10">
        <v>0</v>
      </c>
      <c r="D32" s="10">
        <v>0.02</v>
      </c>
    </row>
    <row r="33" spans="1:4" x14ac:dyDescent="0.25">
      <c r="A33" s="2" t="str">
        <f>"1.1.1.03.42- Caixa Econômica - 532-9 Acid Ped Poupanç"</f>
        <v>1.1.1.03.42- Caixa Econômica - 532-9 Acid Ped Poupanç</v>
      </c>
      <c r="B33" s="10">
        <v>86997.05</v>
      </c>
      <c r="C33" s="10">
        <v>-86855.61</v>
      </c>
      <c r="D33" s="10">
        <v>141.44</v>
      </c>
    </row>
    <row r="34" spans="1:4" x14ac:dyDescent="0.25">
      <c r="A34" s="2" t="str">
        <f>"1.1.1.03.43- Caixa Econômica - 534-5 Codemig Poupança"</f>
        <v>1.1.1.03.43- Caixa Econômica - 534-5 Codemig Poupança</v>
      </c>
      <c r="B34" s="10">
        <v>26176.38</v>
      </c>
      <c r="C34" s="10">
        <v>226.93</v>
      </c>
      <c r="D34" s="10">
        <v>26403.31</v>
      </c>
    </row>
    <row r="35" spans="1:4" x14ac:dyDescent="0.25">
      <c r="A35" s="2" t="str">
        <f>"1.1.1.03.44- Caixa Econômica - 535-3 Turblog Poupança"</f>
        <v>1.1.1.03.44- Caixa Econômica - 535-3 Turblog Poupança</v>
      </c>
      <c r="B35" s="10">
        <v>64391.23</v>
      </c>
      <c r="C35" s="10">
        <v>558.23</v>
      </c>
      <c r="D35" s="10">
        <v>64949.46</v>
      </c>
    </row>
    <row r="36" spans="1:4" x14ac:dyDescent="0.25">
      <c r="A36" s="2" t="str">
        <f>"1.1.1.03.45- Caixa Econômica Federal - 3393-8Leilão17"</f>
        <v>1.1.1.03.45- Caixa Econômica Federal - 3393-8Leilão17</v>
      </c>
      <c r="B36" s="10">
        <v>114857.66</v>
      </c>
      <c r="C36" s="10">
        <v>586.85</v>
      </c>
      <c r="D36" s="10">
        <v>115444.51</v>
      </c>
    </row>
    <row r="37" spans="1:4" x14ac:dyDescent="0.25">
      <c r="A37" s="2" t="str">
        <f>"1.1.1.03.46- Caixa Econômica Federal -3501-9Leillão17"</f>
        <v>1.1.1.03.46- Caixa Econômica Federal -3501-9Leillão17</v>
      </c>
      <c r="B37" s="10">
        <v>95894.24</v>
      </c>
      <c r="C37" s="10">
        <v>18111.47</v>
      </c>
      <c r="D37" s="10">
        <v>114005.71</v>
      </c>
    </row>
    <row r="38" spans="1:4" x14ac:dyDescent="0.25">
      <c r="A38" s="2" t="str">
        <f>"1.1.1.04.00- BANCOS C/VINCULADA-PAMEH"</f>
        <v>1.1.1.04.00- BANCOS C/VINCULADA-PAMEH</v>
      </c>
      <c r="B38" s="10">
        <v>1398977.55</v>
      </c>
      <c r="C38" s="10">
        <v>-157527.42000000001</v>
      </c>
      <c r="D38" s="10">
        <v>1241450.1299999999</v>
      </c>
    </row>
    <row r="39" spans="1:4" x14ac:dyDescent="0.25">
      <c r="A39" s="2" t="str">
        <f>"1.1.1.04.07- Caixa Econômica Federal - 3294-0"</f>
        <v>1.1.1.04.07- Caixa Econômica Federal - 3294-0</v>
      </c>
      <c r="B39" s="10">
        <v>372.16</v>
      </c>
      <c r="C39" s="10">
        <v>1236.97</v>
      </c>
      <c r="D39" s="10">
        <v>1609.13</v>
      </c>
    </row>
    <row r="40" spans="1:4" x14ac:dyDescent="0.25">
      <c r="A40" s="2" t="str">
        <f>"1.1.1.04.08- Caixa Econômica Federal - 3294-0 Aplic."</f>
        <v>1.1.1.04.08- Caixa Econômica Federal - 3294-0 Aplic.</v>
      </c>
      <c r="B40" s="10">
        <v>1398605.39</v>
      </c>
      <c r="C40" s="10">
        <v>-158764.39000000001</v>
      </c>
      <c r="D40" s="10">
        <v>1239841</v>
      </c>
    </row>
    <row r="41" spans="1:4" x14ac:dyDescent="0.25">
      <c r="A41" s="2" t="str">
        <f>"1.1.2.00.00- REALIZAVEL A CURTO PRAZO"</f>
        <v>1.1.2.00.00- REALIZAVEL A CURTO PRAZO</v>
      </c>
      <c r="B41" s="10">
        <v>12285590.34</v>
      </c>
      <c r="C41" s="10">
        <v>279525.34999999998</v>
      </c>
      <c r="D41" s="10">
        <v>12565115.689999999</v>
      </c>
    </row>
    <row r="42" spans="1:4" x14ac:dyDescent="0.25">
      <c r="A42" s="2" t="str">
        <f>"1.1.2.01.00- CONTAS A RECEBER"</f>
        <v>1.1.2.01.00- CONTAS A RECEBER</v>
      </c>
      <c r="B42" s="10">
        <v>6813617.2000000002</v>
      </c>
      <c r="C42" s="10">
        <v>258357.64</v>
      </c>
      <c r="D42" s="10">
        <v>7071974.8399999999</v>
      </c>
    </row>
    <row r="43" spans="1:4" x14ac:dyDescent="0.25">
      <c r="A43" s="2" t="str">
        <f>"1.1.2.01.89- Multas Transporte Coletivo"</f>
        <v>1.1.2.01.89- Multas Transporte Coletivo</v>
      </c>
      <c r="B43" s="10">
        <v>8295069.3499999996</v>
      </c>
      <c r="C43" s="10">
        <v>349386.49</v>
      </c>
      <c r="D43" s="10">
        <v>8644455.8399999999</v>
      </c>
    </row>
    <row r="44" spans="1:4" x14ac:dyDescent="0.25">
      <c r="A44" s="2" t="str">
        <f>"1.1.2.01.93- Estacionamento Rotativo a Receber"</f>
        <v>1.1.2.01.93- Estacionamento Rotativo a Receber</v>
      </c>
      <c r="B44" s="10">
        <v>2320.61</v>
      </c>
      <c r="C44" s="10">
        <v>24724.42</v>
      </c>
      <c r="D44" s="10">
        <v>27045.03</v>
      </c>
    </row>
    <row r="45" spans="1:4" x14ac:dyDescent="0.25">
      <c r="A45" s="2" t="str">
        <f>"1.1.2.01.94- Midia Onibus a Receber"</f>
        <v>1.1.2.01.94- Midia Onibus a Receber</v>
      </c>
      <c r="B45" s="10">
        <v>253567.34</v>
      </c>
      <c r="C45" s="10">
        <v>0</v>
      </c>
      <c r="D45" s="10">
        <v>253567.34</v>
      </c>
    </row>
    <row r="46" spans="1:4" x14ac:dyDescent="0.25">
      <c r="A46" s="2" t="str">
        <f>"1.1.2.01.98- Outras contas a receber"</f>
        <v>1.1.2.01.98- Outras contas a receber</v>
      </c>
      <c r="B46" s="10">
        <v>71362.62</v>
      </c>
      <c r="C46" s="10">
        <v>-45875.97</v>
      </c>
      <c r="D46" s="10">
        <v>25486.65</v>
      </c>
    </row>
    <row r="47" spans="1:4" x14ac:dyDescent="0.25">
      <c r="A47" s="2" t="str">
        <f>"1.1.2.01.99- (-) Provisao para Perdas"</f>
        <v>1.1.2.01.99- (-) Provisao para Perdas</v>
      </c>
      <c r="B47" s="10">
        <v>-1808702.72</v>
      </c>
      <c r="C47" s="10">
        <v>-69877.3</v>
      </c>
      <c r="D47" s="10">
        <v>-1878580.02</v>
      </c>
    </row>
    <row r="48" spans="1:4" x14ac:dyDescent="0.25">
      <c r="A48" s="2" t="str">
        <f>"1.1.2.04.00- CONVÊNIOS A RECEBER"</f>
        <v>1.1.2.04.00- CONVÊNIOS A RECEBER</v>
      </c>
      <c r="B48" s="10">
        <v>0</v>
      </c>
      <c r="C48" s="10">
        <v>6977.26</v>
      </c>
      <c r="D48" s="10">
        <v>6977.26</v>
      </c>
    </row>
    <row r="49" spans="1:4" x14ac:dyDescent="0.25">
      <c r="A49" s="2" t="str">
        <f>"1.1.2.04.99- Convenios cedidos a receber"</f>
        <v>1.1.2.04.99- Convenios cedidos a receber</v>
      </c>
      <c r="B49" s="10">
        <v>0</v>
      </c>
      <c r="C49" s="10">
        <v>6977.26</v>
      </c>
      <c r="D49" s="10">
        <v>6977.26</v>
      </c>
    </row>
    <row r="50" spans="1:4" x14ac:dyDescent="0.25">
      <c r="A50" s="2" t="str">
        <f>"1.1.2.06.00- ADIANTAMENTO A EMPREGADOS"</f>
        <v>1.1.2.06.00- ADIANTAMENTO A EMPREGADOS</v>
      </c>
      <c r="B50" s="10">
        <v>3446652.7</v>
      </c>
      <c r="C50" s="10">
        <v>-10818.79</v>
      </c>
      <c r="D50" s="10">
        <v>3435833.91</v>
      </c>
    </row>
    <row r="51" spans="1:4" x14ac:dyDescent="0.25">
      <c r="A51" s="2" t="str">
        <f>"1.1.2.06.01- Adiantamento de Ferias"</f>
        <v>1.1.2.06.01- Adiantamento de Ferias</v>
      </c>
      <c r="B51" s="10">
        <v>569402.93000000005</v>
      </c>
      <c r="C51" s="10">
        <v>-3368.36</v>
      </c>
      <c r="D51" s="10">
        <v>566034.56999999995</v>
      </c>
    </row>
    <row r="52" spans="1:4" x14ac:dyDescent="0.25">
      <c r="A52" s="2" t="str">
        <f>"1.1.2.06.02- Adiantamento de 13. Salario"</f>
        <v>1.1.2.06.02- Adiantamento de 13. Salario</v>
      </c>
      <c r="B52" s="10">
        <v>2559052.5299999998</v>
      </c>
      <c r="C52" s="10">
        <v>5686.53</v>
      </c>
      <c r="D52" s="10">
        <v>2564739.06</v>
      </c>
    </row>
    <row r="53" spans="1:4" x14ac:dyDescent="0.25">
      <c r="A53" s="2" t="str">
        <f>"1.1.2.06.03- Adiant. de Salario/Parc. Ferias"</f>
        <v>1.1.2.06.03- Adiant. de Salario/Parc. Ferias</v>
      </c>
      <c r="B53" s="10">
        <v>151504.9</v>
      </c>
      <c r="C53" s="10">
        <v>-18482.900000000001</v>
      </c>
      <c r="D53" s="10">
        <v>133022</v>
      </c>
    </row>
    <row r="54" spans="1:4" x14ac:dyDescent="0.25">
      <c r="A54" s="2" t="str">
        <f>"1.1.2.06.07- Adiantamento Pensao s/ Ferias"</f>
        <v>1.1.2.06.07- Adiantamento Pensao s/ Ferias</v>
      </c>
      <c r="B54" s="10">
        <v>166692.34</v>
      </c>
      <c r="C54" s="10">
        <v>5345.94</v>
      </c>
      <c r="D54" s="10">
        <v>172038.28</v>
      </c>
    </row>
    <row r="55" spans="1:4" x14ac:dyDescent="0.25">
      <c r="A55" s="2" t="str">
        <f>"1.1.2.08.00- ALMOXARIFADO"</f>
        <v>1.1.2.08.00- ALMOXARIFADO</v>
      </c>
      <c r="B55" s="10">
        <v>393412.96</v>
      </c>
      <c r="C55" s="10">
        <v>-34249.019999999997</v>
      </c>
      <c r="D55" s="10">
        <v>359163.94</v>
      </c>
    </row>
    <row r="56" spans="1:4" x14ac:dyDescent="0.25">
      <c r="A56" s="2" t="str">
        <f>"1.1.2.08.01- Material em Estoque"</f>
        <v>1.1.2.08.01- Material em Estoque</v>
      </c>
      <c r="B56" s="10">
        <v>393412.96</v>
      </c>
      <c r="C56" s="10">
        <v>-34249.019999999997</v>
      </c>
      <c r="D56" s="10">
        <v>359163.94</v>
      </c>
    </row>
    <row r="57" spans="1:4" x14ac:dyDescent="0.25">
      <c r="A57" s="2" t="str">
        <f>"1.1.2.10.00- IMPOSTOS E CONTRIB.A RECUPERAR"</f>
        <v>1.1.2.10.00- IMPOSTOS E CONTRIB.A RECUPERAR</v>
      </c>
      <c r="B57" s="10">
        <v>553816.67000000004</v>
      </c>
      <c r="C57" s="10">
        <v>2280.33</v>
      </c>
      <c r="D57" s="10">
        <v>556097</v>
      </c>
    </row>
    <row r="58" spans="1:4" x14ac:dyDescent="0.25">
      <c r="A58" s="2" t="str">
        <f>"1.1.2.10.01- IR s/Aplicacao Financeira"</f>
        <v>1.1.2.10.01- IR s/Aplicacao Financeira</v>
      </c>
      <c r="B58" s="10">
        <v>436331.93</v>
      </c>
      <c r="C58" s="10">
        <v>2222.75</v>
      </c>
      <c r="D58" s="10">
        <v>438554.68</v>
      </c>
    </row>
    <row r="59" spans="1:4" x14ac:dyDescent="0.25">
      <c r="A59" s="2" t="str">
        <f>"1.1.2.10.08- IRRF a Compensar"</f>
        <v>1.1.2.10.08- IRRF a Compensar</v>
      </c>
      <c r="B59" s="10">
        <v>1454.99</v>
      </c>
      <c r="C59" s="10">
        <v>0</v>
      </c>
      <c r="D59" s="10">
        <v>1454.99</v>
      </c>
    </row>
    <row r="60" spans="1:4" x14ac:dyDescent="0.25">
      <c r="A60" s="2" t="str">
        <f>"1.1.2.10.15- Cofins a Compensar"</f>
        <v>1.1.2.10.15- Cofins a Compensar</v>
      </c>
      <c r="B60" s="10">
        <v>7.0000000000000007E-2</v>
      </c>
      <c r="C60" s="10">
        <v>0</v>
      </c>
      <c r="D60" s="10">
        <v>7.0000000000000007E-2</v>
      </c>
    </row>
    <row r="61" spans="1:4" x14ac:dyDescent="0.25">
      <c r="A61" s="2" t="str">
        <f>"1.1.2.10.16- PIS a Compensar"</f>
        <v>1.1.2.10.16- PIS a Compensar</v>
      </c>
      <c r="B61" s="10">
        <v>-0.02</v>
      </c>
      <c r="C61" s="10">
        <v>0.01</v>
      </c>
      <c r="D61" s="10">
        <v>-0.01</v>
      </c>
    </row>
    <row r="62" spans="1:4" x14ac:dyDescent="0.25">
      <c r="A62" s="2" t="str">
        <f>"1.1.2.10.20- V.M.A PIS a Recuperar"</f>
        <v>1.1.2.10.20- V.M.A PIS a Recuperar</v>
      </c>
      <c r="B62" s="10">
        <v>1654.28</v>
      </c>
      <c r="C62" s="10">
        <v>31.52</v>
      </c>
      <c r="D62" s="10">
        <v>1685.8</v>
      </c>
    </row>
    <row r="63" spans="1:4" x14ac:dyDescent="0.25">
      <c r="A63" s="2" t="str">
        <f>"1.1.2.10.21- V.M.A IRRF a Compensar"</f>
        <v>1.1.2.10.21- V.M.A IRRF a Compensar</v>
      </c>
      <c r="B63" s="10">
        <v>548.27</v>
      </c>
      <c r="C63" s="10">
        <v>7.85</v>
      </c>
      <c r="D63" s="10">
        <v>556.12</v>
      </c>
    </row>
    <row r="64" spans="1:4" x14ac:dyDescent="0.25">
      <c r="A64" s="2" t="str">
        <f>"1.1.2.10.22- V.M.A COFINS a Compensar"</f>
        <v>1.1.2.10.22- V.M.A COFINS a Compensar</v>
      </c>
      <c r="B64" s="10">
        <v>5563.38</v>
      </c>
      <c r="C64" s="10">
        <v>18.2</v>
      </c>
      <c r="D64" s="10">
        <v>5581.58</v>
      </c>
    </row>
    <row r="65" spans="1:4" x14ac:dyDescent="0.25">
      <c r="A65" s="2" t="str">
        <f>"1.1.2.10.25- INSS a recuperar segurados"</f>
        <v>1.1.2.10.25- INSS a recuperar segurados</v>
      </c>
      <c r="B65" s="10">
        <v>108263.77</v>
      </c>
      <c r="C65" s="10">
        <v>0</v>
      </c>
      <c r="D65" s="10">
        <v>108263.77</v>
      </c>
    </row>
    <row r="66" spans="1:4" x14ac:dyDescent="0.25">
      <c r="A66" s="2" t="str">
        <f>"1.1.2.11.00- DESPESAS ANTECIPADAS"</f>
        <v>1.1.2.11.00- DESPESAS ANTECIPADAS</v>
      </c>
      <c r="B66" s="10">
        <v>3632.67</v>
      </c>
      <c r="C66" s="10">
        <v>3837.52</v>
      </c>
      <c r="D66" s="10">
        <v>7470.19</v>
      </c>
    </row>
    <row r="67" spans="1:4" x14ac:dyDescent="0.25">
      <c r="A67" s="2" t="str">
        <f>"1.1.2.11.01- Premios de Seguros a Vencer"</f>
        <v>1.1.2.11.01- Premios de Seguros a Vencer</v>
      </c>
      <c r="B67" s="10">
        <v>3632.67</v>
      </c>
      <c r="C67" s="10">
        <v>3837.52</v>
      </c>
      <c r="D67" s="10">
        <v>7470.19</v>
      </c>
    </row>
    <row r="68" spans="1:4" x14ac:dyDescent="0.25">
      <c r="A68" s="2" t="str">
        <f>"1.1.2.12.00- VALORES VINC.A RECEBER-PAMEH"</f>
        <v>1.1.2.12.00- VALORES VINC.A RECEBER-PAMEH</v>
      </c>
      <c r="B68" s="10">
        <v>764358.24</v>
      </c>
      <c r="C68" s="10">
        <v>24748.74</v>
      </c>
      <c r="D68" s="10">
        <v>789106.98</v>
      </c>
    </row>
    <row r="69" spans="1:4" x14ac:dyDescent="0.25">
      <c r="A69" s="2" t="str">
        <f>"1.1.2.12.01- Valores Vinculados-PAMEH"</f>
        <v>1.1.2.12.01- Valores Vinculados-PAMEH</v>
      </c>
      <c r="B69" s="10">
        <v>764358.24</v>
      </c>
      <c r="C69" s="10">
        <v>24748.74</v>
      </c>
      <c r="D69" s="10">
        <v>789106.98</v>
      </c>
    </row>
    <row r="70" spans="1:4" x14ac:dyDescent="0.25">
      <c r="A70" s="2" t="str">
        <f>"1.1.2.14.00- CONTAS TRANSITORIAS - GRUPO ATIVO"</f>
        <v>1.1.2.14.00- CONTAS TRANSITORIAS - GRUPO ATIVO</v>
      </c>
      <c r="B70" s="10">
        <v>222144.57</v>
      </c>
      <c r="C70" s="10">
        <v>44018.91</v>
      </c>
      <c r="D70" s="10">
        <v>266163.48</v>
      </c>
    </row>
    <row r="71" spans="1:4" x14ac:dyDescent="0.25">
      <c r="A71" s="2" t="str">
        <f>"1.1.2.14.05- Transitoria Folha de Pagamento"</f>
        <v>1.1.2.14.05- Transitoria Folha de Pagamento</v>
      </c>
      <c r="B71" s="10">
        <v>222144.57</v>
      </c>
      <c r="C71" s="10">
        <v>44018.91</v>
      </c>
      <c r="D71" s="10">
        <v>266163.48</v>
      </c>
    </row>
    <row r="72" spans="1:4" x14ac:dyDescent="0.25">
      <c r="A72" s="2" t="str">
        <f>"1.1.2.15.00- CARNE ESTACIONAMENTO ROTATIVO"</f>
        <v>1.1.2.15.00- CARNE ESTACIONAMENTO ROTATIVO</v>
      </c>
      <c r="B72" s="10">
        <v>87955.33</v>
      </c>
      <c r="C72" s="10">
        <v>-15627.24</v>
      </c>
      <c r="D72" s="10">
        <v>72328.09</v>
      </c>
    </row>
    <row r="73" spans="1:4" x14ac:dyDescent="0.25">
      <c r="A73" s="2" t="str">
        <f>"1.1.2.15.01- Carne Rotativo"</f>
        <v>1.1.2.15.01- Carne Rotativo</v>
      </c>
      <c r="B73" s="10">
        <v>87955.33</v>
      </c>
      <c r="C73" s="10">
        <v>-15627.24</v>
      </c>
      <c r="D73" s="10">
        <v>72328.09</v>
      </c>
    </row>
    <row r="74" spans="1:4" x14ac:dyDescent="0.25">
      <c r="A74" s="2" t="str">
        <f>"1.2.0.00.00- ATIVO NAO CIRCULANTE"</f>
        <v>1.2.0.00.00- ATIVO NAO CIRCULANTE</v>
      </c>
      <c r="B74" s="10">
        <v>23295655.170000002</v>
      </c>
      <c r="C74" s="10">
        <v>1012271.87</v>
      </c>
      <c r="D74" s="10">
        <v>24307927.039999999</v>
      </c>
    </row>
    <row r="75" spans="1:4" x14ac:dyDescent="0.25">
      <c r="A75" s="2" t="str">
        <f>"1.2.1.00.00- REALIZAVEL A LONGO PRAZO"</f>
        <v>1.2.1.00.00- REALIZAVEL A LONGO PRAZO</v>
      </c>
      <c r="B75" s="10">
        <v>21354648.359999999</v>
      </c>
      <c r="C75" s="10">
        <v>1029954.17</v>
      </c>
      <c r="D75" s="10">
        <v>22384602.530000001</v>
      </c>
    </row>
    <row r="76" spans="1:4" x14ac:dyDescent="0.25">
      <c r="A76" s="2" t="str">
        <f>"1.2.1.01.00- CREDITOS E VALORES A RECEBER"</f>
        <v>1.2.1.01.00- CREDITOS E VALORES A RECEBER</v>
      </c>
      <c r="B76" s="10">
        <v>21354648.359999999</v>
      </c>
      <c r="C76" s="10">
        <v>1029954.17</v>
      </c>
      <c r="D76" s="10">
        <v>22384602.530000001</v>
      </c>
    </row>
    <row r="77" spans="1:4" x14ac:dyDescent="0.25">
      <c r="A77" s="2" t="str">
        <f>"1.2.1.01.01- Depositos Judiciais"</f>
        <v>1.2.1.01.01- Depositos Judiciais</v>
      </c>
      <c r="B77" s="10">
        <v>8839193.3800000008</v>
      </c>
      <c r="C77" s="10">
        <v>1029954.17</v>
      </c>
      <c r="D77" s="10">
        <v>9869147.5500000007</v>
      </c>
    </row>
    <row r="78" spans="1:4" x14ac:dyDescent="0.25">
      <c r="A78" s="2" t="str">
        <f>"1.2.1.01.03- Depositos Judiciais de Terceiros"</f>
        <v>1.2.1.01.03- Depositos Judiciais de Terceiros</v>
      </c>
      <c r="B78" s="10">
        <v>925087.39</v>
      </c>
      <c r="C78" s="10">
        <v>0</v>
      </c>
      <c r="D78" s="10">
        <v>925087.39</v>
      </c>
    </row>
    <row r="79" spans="1:4" x14ac:dyDescent="0.25">
      <c r="A79" s="2" t="str">
        <f>"1.2.1.01.04- Convenio Prefeitura Betim"</f>
        <v>1.2.1.01.04- Convenio Prefeitura Betim</v>
      </c>
      <c r="B79" s="10">
        <v>891.18</v>
      </c>
      <c r="C79" s="10">
        <v>0</v>
      </c>
      <c r="D79" s="10">
        <v>891.18</v>
      </c>
    </row>
    <row r="80" spans="1:4" x14ac:dyDescent="0.25">
      <c r="A80" s="2" t="str">
        <f>"1.2.1.01.05- Convenio IPSEMG"</f>
        <v>1.2.1.01.05- Convenio IPSEMG</v>
      </c>
      <c r="B80" s="10">
        <v>21163.53</v>
      </c>
      <c r="C80" s="10">
        <v>0</v>
      </c>
      <c r="D80" s="10">
        <v>21163.53</v>
      </c>
    </row>
    <row r="81" spans="1:4" x14ac:dyDescent="0.25">
      <c r="A81" s="2" t="str">
        <f>"1.2.1.01.06- Multas Transporte Coletivo"</f>
        <v>1.2.1.01.06- Multas Transporte Coletivo</v>
      </c>
      <c r="B81" s="10">
        <v>12853680.960000001</v>
      </c>
      <c r="C81" s="10">
        <v>0</v>
      </c>
      <c r="D81" s="10">
        <v>12853680.960000001</v>
      </c>
    </row>
    <row r="82" spans="1:4" x14ac:dyDescent="0.25">
      <c r="A82" s="2" t="str">
        <f>"1.2.1.01.07- (-) Provisao para Perdas"</f>
        <v>1.2.1.01.07- (-) Provisao para Perdas</v>
      </c>
      <c r="B82" s="10">
        <v>-1285368.08</v>
      </c>
      <c r="C82" s="10">
        <v>0</v>
      </c>
      <c r="D82" s="10">
        <v>-1285368.08</v>
      </c>
    </row>
    <row r="83" spans="1:4" x14ac:dyDescent="0.25">
      <c r="A83" s="2" t="str">
        <f>"1.3.1.00.00- INVESTIMENTOS"</f>
        <v>1.3.1.00.00- INVESTIMENTOS</v>
      </c>
      <c r="B83" s="10">
        <v>26070</v>
      </c>
      <c r="C83" s="10">
        <v>0</v>
      </c>
      <c r="D83" s="10">
        <v>26070</v>
      </c>
    </row>
    <row r="84" spans="1:4" x14ac:dyDescent="0.25">
      <c r="A84" s="2" t="str">
        <f>"1.3.1.01.00- OUTROS INVESTIMENTOS"</f>
        <v>1.3.1.01.00- OUTROS INVESTIMENTOS</v>
      </c>
      <c r="B84" s="10">
        <v>26070</v>
      </c>
      <c r="C84" s="10">
        <v>0</v>
      </c>
      <c r="D84" s="10">
        <v>26070</v>
      </c>
    </row>
    <row r="85" spans="1:4" x14ac:dyDescent="0.25">
      <c r="A85" s="2" t="str">
        <f>"1.3.1.01.01- Obras de Arte"</f>
        <v>1.3.1.01.01- Obras de Arte</v>
      </c>
      <c r="B85" s="10">
        <v>25200</v>
      </c>
      <c r="C85" s="10">
        <v>0</v>
      </c>
      <c r="D85" s="10">
        <v>25200</v>
      </c>
    </row>
    <row r="86" spans="1:4" x14ac:dyDescent="0.25">
      <c r="A86" s="2" t="str">
        <f>"1.3.1.01.02- Participações Societárias - PBH ATIVOS"</f>
        <v>1.3.1.01.02- Participações Societárias - PBH ATIVOS</v>
      </c>
      <c r="B86" s="10">
        <v>870</v>
      </c>
      <c r="C86" s="10">
        <v>0</v>
      </c>
      <c r="D86" s="10">
        <v>870</v>
      </c>
    </row>
    <row r="87" spans="1:4" x14ac:dyDescent="0.25">
      <c r="A87" s="2" t="str">
        <f>"1.3.2.00.00- IMOBILIZADO"</f>
        <v>1.3.2.00.00- IMOBILIZADO</v>
      </c>
      <c r="B87" s="10">
        <v>7778994.4299999997</v>
      </c>
      <c r="C87" s="10">
        <v>3000</v>
      </c>
      <c r="D87" s="10">
        <v>7781994.4299999997</v>
      </c>
    </row>
    <row r="88" spans="1:4" x14ac:dyDescent="0.25">
      <c r="A88" s="2" t="str">
        <f>"1.3.2.01.01- Maquinas e equipamentos"</f>
        <v>1.3.2.01.01- Maquinas e equipamentos</v>
      </c>
      <c r="B88" s="10">
        <v>243172.08</v>
      </c>
      <c r="C88" s="10">
        <v>0</v>
      </c>
      <c r="D88" s="10">
        <v>243172.08</v>
      </c>
    </row>
    <row r="89" spans="1:4" x14ac:dyDescent="0.25">
      <c r="A89" s="2" t="str">
        <f>"1.3.2.02.01- Ferramentas"</f>
        <v>1.3.2.02.01- Ferramentas</v>
      </c>
      <c r="B89" s="10">
        <v>9104.81</v>
      </c>
      <c r="C89" s="10">
        <v>0</v>
      </c>
      <c r="D89" s="10">
        <v>9104.81</v>
      </c>
    </row>
    <row r="90" spans="1:4" x14ac:dyDescent="0.25">
      <c r="A90" s="2" t="str">
        <f>"1.3.2.03.01- Equipamentos de comunicacao"</f>
        <v>1.3.2.03.01- Equipamentos de comunicacao</v>
      </c>
      <c r="B90" s="10">
        <v>172167.01</v>
      </c>
      <c r="C90" s="10">
        <v>0</v>
      </c>
      <c r="D90" s="10">
        <v>172167.01</v>
      </c>
    </row>
    <row r="91" spans="1:4" x14ac:dyDescent="0.25">
      <c r="A91" s="2" t="str">
        <f>"1.3.2.04.01- Instalacoes"</f>
        <v>1.3.2.04.01- Instalacoes</v>
      </c>
      <c r="B91" s="10">
        <v>85222.9</v>
      </c>
      <c r="C91" s="10">
        <v>0</v>
      </c>
      <c r="D91" s="10">
        <v>85222.9</v>
      </c>
    </row>
    <row r="92" spans="1:4" x14ac:dyDescent="0.25">
      <c r="A92" s="2" t="str">
        <f>"1.3.2.06.01- Moveis e utensilios"</f>
        <v>1.3.2.06.01- Moveis e utensilios</v>
      </c>
      <c r="B92" s="10">
        <v>541731.43999999994</v>
      </c>
      <c r="C92" s="10">
        <v>0</v>
      </c>
      <c r="D92" s="10">
        <v>541731.43999999994</v>
      </c>
    </row>
    <row r="93" spans="1:4" x14ac:dyDescent="0.25">
      <c r="A93" s="2" t="str">
        <f>"1.3.2.08.01- Instalacoes administrativas"</f>
        <v>1.3.2.08.01- Instalacoes administrativas</v>
      </c>
      <c r="B93" s="10">
        <v>99146.34</v>
      </c>
      <c r="C93" s="10">
        <v>0</v>
      </c>
      <c r="D93" s="10">
        <v>99146.34</v>
      </c>
    </row>
    <row r="94" spans="1:4" x14ac:dyDescent="0.25">
      <c r="A94" s="2" t="str">
        <f>"1.3.2.09.01- Aparelhos/equipamentos diversos"</f>
        <v>1.3.2.09.01- Aparelhos/equipamentos diversos</v>
      </c>
      <c r="B94" s="10">
        <v>659158.13</v>
      </c>
      <c r="C94" s="10">
        <v>3000</v>
      </c>
      <c r="D94" s="10">
        <v>662158.13</v>
      </c>
    </row>
    <row r="95" spans="1:4" x14ac:dyDescent="0.25">
      <c r="A95" s="2" t="str">
        <f>"1.3.2.10.01- Equip. p/ processamento de dados"</f>
        <v>1.3.2.10.01- Equip. p/ processamento de dados</v>
      </c>
      <c r="B95" s="10">
        <v>1550246.6</v>
      </c>
      <c r="C95" s="10">
        <v>0</v>
      </c>
      <c r="D95" s="10">
        <v>1550246.6</v>
      </c>
    </row>
    <row r="96" spans="1:4" x14ac:dyDescent="0.25">
      <c r="A96" s="2" t="str">
        <f>"1.3.2.12.01- Micros/impressoras e acessorios"</f>
        <v>1.3.2.12.01- Micros/impressoras e acessorios</v>
      </c>
      <c r="B96" s="10">
        <v>2745120.68</v>
      </c>
      <c r="C96" s="10">
        <v>0</v>
      </c>
      <c r="D96" s="10">
        <v>2745120.68</v>
      </c>
    </row>
    <row r="97" spans="1:4" x14ac:dyDescent="0.25">
      <c r="A97" s="2" t="str">
        <f>"1.3.2.13.01- Imobilizacao em imoveis de terceiros"</f>
        <v>1.3.2.13.01- Imobilizacao em imoveis de terceiros</v>
      </c>
      <c r="B97" s="10">
        <v>511539.98</v>
      </c>
      <c r="C97" s="10">
        <v>0</v>
      </c>
      <c r="D97" s="10">
        <v>511539.98</v>
      </c>
    </row>
    <row r="98" spans="1:4" x14ac:dyDescent="0.25">
      <c r="A98" s="2" t="str">
        <f>"1.3.2.14.01- Estacao Diamante"</f>
        <v>1.3.2.14.01- Estacao Diamante</v>
      </c>
      <c r="B98" s="10">
        <v>1162384.46</v>
      </c>
      <c r="C98" s="10">
        <v>0</v>
      </c>
      <c r="D98" s="10">
        <v>1162384.46</v>
      </c>
    </row>
    <row r="99" spans="1:4" x14ac:dyDescent="0.25">
      <c r="A99" s="2" t="str">
        <f>"1.3.3.00.00- INTANGIVEL"</f>
        <v>1.3.3.00.00- INTANGIVEL</v>
      </c>
      <c r="B99" s="10">
        <v>37558</v>
      </c>
      <c r="C99" s="10">
        <v>0</v>
      </c>
      <c r="D99" s="10">
        <v>37558</v>
      </c>
    </row>
    <row r="100" spans="1:4" x14ac:dyDescent="0.25">
      <c r="A100" s="2" t="str">
        <f>"1.3.3.03.00- MARCAS E PATENTES"</f>
        <v>1.3.3.03.00- MARCAS E PATENTES</v>
      </c>
      <c r="B100" s="10">
        <v>808</v>
      </c>
      <c r="C100" s="10">
        <v>0</v>
      </c>
      <c r="D100" s="10">
        <v>808</v>
      </c>
    </row>
    <row r="101" spans="1:4" x14ac:dyDescent="0.25">
      <c r="A101" s="2" t="str">
        <f>"1.3.3.03.01- Marcas e Patentes"</f>
        <v>1.3.3.03.01- Marcas e Patentes</v>
      </c>
      <c r="B101" s="10">
        <v>808</v>
      </c>
      <c r="C101" s="10">
        <v>0</v>
      </c>
      <c r="D101" s="10">
        <v>808</v>
      </c>
    </row>
    <row r="102" spans="1:4" x14ac:dyDescent="0.25">
      <c r="A102" s="2" t="str">
        <f>"1.3.3.04.01- Programas e Sistemas"</f>
        <v>1.3.3.04.01- Programas e Sistemas</v>
      </c>
      <c r="B102" s="10">
        <v>36750</v>
      </c>
      <c r="C102" s="10">
        <v>0</v>
      </c>
      <c r="D102" s="10">
        <v>36750</v>
      </c>
    </row>
    <row r="103" spans="1:4" x14ac:dyDescent="0.25">
      <c r="A103" s="2" t="str">
        <f>"1.3.5.00.00- ( - )DEPRECIACAO E AMORTIZACAO"</f>
        <v>1.3.5.00.00- ( - )DEPRECIACAO E AMORTIZACAO</v>
      </c>
      <c r="B103" s="10">
        <v>-5901615.6200000001</v>
      </c>
      <c r="C103" s="10">
        <v>-20682.3</v>
      </c>
      <c r="D103" s="10">
        <v>-5922297.9199999999</v>
      </c>
    </row>
    <row r="104" spans="1:4" x14ac:dyDescent="0.25">
      <c r="A104" s="2" t="str">
        <f>"1.3.5.01.00- ( - ) DEPRECIACAO E AMORTIZACAO"</f>
        <v>1.3.5.01.00- ( - ) DEPRECIACAO E AMORTIZACAO</v>
      </c>
      <c r="B104" s="10">
        <v>-5901615.6200000001</v>
      </c>
      <c r="C104" s="10">
        <v>-20682.3</v>
      </c>
      <c r="D104" s="10">
        <v>-5922297.9199999999</v>
      </c>
    </row>
    <row r="105" spans="1:4" x14ac:dyDescent="0.25">
      <c r="A105" s="2" t="str">
        <f>"1.3.5.01.01- ( - ) Moveis e Utensilios"</f>
        <v>1.3.5.01.01- ( - ) Moveis e Utensilios</v>
      </c>
      <c r="B105" s="10">
        <v>-465195.63</v>
      </c>
      <c r="C105" s="10">
        <v>-1853.16</v>
      </c>
      <c r="D105" s="10">
        <v>-467048.79</v>
      </c>
    </row>
    <row r="106" spans="1:4" x14ac:dyDescent="0.25">
      <c r="A106" s="2" t="str">
        <f>"1.3.5.01.02- ( - ) Aparelhos/Equipamentos Diversos"</f>
        <v>1.3.5.01.02- ( - ) Aparelhos/Equipamentos Diversos</v>
      </c>
      <c r="B106" s="10">
        <v>-403140.54</v>
      </c>
      <c r="C106" s="10">
        <v>-3965.04</v>
      </c>
      <c r="D106" s="10">
        <v>-407105.58</v>
      </c>
    </row>
    <row r="107" spans="1:4" x14ac:dyDescent="0.25">
      <c r="A107" s="2" t="str">
        <f>"1.3.5.01.03- ( - ) Instalacoes Administrativas"</f>
        <v>1.3.5.01.03- ( - ) Instalacoes Administrativas</v>
      </c>
      <c r="B107" s="10">
        <v>-99056.22</v>
      </c>
      <c r="C107" s="10">
        <v>-3.31</v>
      </c>
      <c r="D107" s="10">
        <v>-99059.53</v>
      </c>
    </row>
    <row r="108" spans="1:4" x14ac:dyDescent="0.25">
      <c r="A108" s="2" t="str">
        <f>"1.3.5.01.05- ( - ) Impressoras e Micros"</f>
        <v>1.3.5.01.05- ( - ) Impressoras e Micros</v>
      </c>
      <c r="B108" s="10">
        <v>-3324766.9</v>
      </c>
      <c r="C108" s="10">
        <v>-6982.94</v>
      </c>
      <c r="D108" s="10">
        <v>-3331749.84</v>
      </c>
    </row>
    <row r="109" spans="1:4" x14ac:dyDescent="0.25">
      <c r="A109" s="2" t="str">
        <f>"1.3.5.01.06- ( - ) Maquinas e Equipamentos"</f>
        <v>1.3.5.01.06- ( - ) Maquinas e Equipamentos</v>
      </c>
      <c r="B109" s="10">
        <v>-170387.39</v>
      </c>
      <c r="C109" s="10">
        <v>-1394.92</v>
      </c>
      <c r="D109" s="10">
        <v>-171782.31</v>
      </c>
    </row>
    <row r="110" spans="1:4" x14ac:dyDescent="0.25">
      <c r="A110" s="2" t="str">
        <f>"1.3.5.01.07- ( - ) Equipamentos de Comunicacao"</f>
        <v>1.3.5.01.07- ( - ) Equipamentos de Comunicacao</v>
      </c>
      <c r="B110" s="10">
        <v>-172107.01</v>
      </c>
      <c r="C110" s="10">
        <v>-5</v>
      </c>
      <c r="D110" s="10">
        <v>-172112.01</v>
      </c>
    </row>
    <row r="111" spans="1:4" x14ac:dyDescent="0.25">
      <c r="A111" s="2" t="str">
        <f>"1.3.5.01.08- ( - ) Instalacoes Operacionais"</f>
        <v>1.3.5.01.08- ( - ) Instalacoes Operacionais</v>
      </c>
      <c r="B111" s="10">
        <v>-68950.95</v>
      </c>
      <c r="C111" s="10">
        <v>-232.87</v>
      </c>
      <c r="D111" s="10">
        <v>-69183.820000000007</v>
      </c>
    </row>
    <row r="112" spans="1:4" x14ac:dyDescent="0.25">
      <c r="A112" s="2" t="str">
        <f>"1.3.5.01.09- ( - ) Programas (Softwares)"</f>
        <v>1.3.5.01.09- ( - ) Programas (Softwares)</v>
      </c>
      <c r="B112" s="10">
        <v>-34867.19</v>
      </c>
      <c r="C112" s="10">
        <v>-612.5</v>
      </c>
      <c r="D112" s="10">
        <v>-35479.69</v>
      </c>
    </row>
    <row r="113" spans="1:4" x14ac:dyDescent="0.25">
      <c r="A113" s="2" t="str">
        <f>"1.3.5.01.14- ( - ) Ferramentas"</f>
        <v>1.3.5.01.14- ( - ) Ferramentas</v>
      </c>
      <c r="B113" s="10">
        <v>-7709.8</v>
      </c>
      <c r="C113" s="10">
        <v>-52.81</v>
      </c>
      <c r="D113" s="10">
        <v>-7762.61</v>
      </c>
    </row>
    <row r="114" spans="1:4" x14ac:dyDescent="0.25">
      <c r="A114" s="2" t="str">
        <f>"1.3.5.01.15- ( - ) Imobilizacoes em Imov. Terceiros"</f>
        <v>1.3.5.01.15- ( - ) Imobilizacoes em Imov. Terceiros</v>
      </c>
      <c r="B114" s="10">
        <v>-1155433.99</v>
      </c>
      <c r="C114" s="10">
        <v>-5579.75</v>
      </c>
      <c r="D114" s="10">
        <v>-1161013.74</v>
      </c>
    </row>
    <row r="115" spans="1:4" x14ac:dyDescent="0.25">
      <c r="A115" s="2" t="str">
        <f>""</f>
        <v/>
      </c>
      <c r="B115" s="3" t="str">
        <f>""</f>
        <v/>
      </c>
      <c r="C115" s="3" t="str">
        <f>""</f>
        <v/>
      </c>
      <c r="D115" s="3" t="str">
        <f>""</f>
        <v/>
      </c>
    </row>
    <row r="116" spans="1:4" x14ac:dyDescent="0.25">
      <c r="A116" s="2" t="str">
        <f>"PASSIVO"</f>
        <v>PASSIVO</v>
      </c>
      <c r="B116" s="3" t="str">
        <f>""</f>
        <v/>
      </c>
      <c r="C116" s="3" t="str">
        <f>""</f>
        <v/>
      </c>
      <c r="D116" s="3" t="str">
        <f>""</f>
        <v/>
      </c>
    </row>
    <row r="117" spans="1:4" x14ac:dyDescent="0.25">
      <c r="A117" s="2" t="str">
        <f>"2.0.0.00.00- PASSIVO"</f>
        <v>2.0.0.00.00- PASSIVO</v>
      </c>
      <c r="B117" s="10">
        <v>58850625.310000002</v>
      </c>
      <c r="C117" s="10">
        <v>3079412.66</v>
      </c>
      <c r="D117" s="10">
        <v>61930037.969999999</v>
      </c>
    </row>
    <row r="118" spans="1:4" x14ac:dyDescent="0.25">
      <c r="A118" s="2" t="str">
        <f>"2.1.0.00.00- PASSIVO CIRCULANTE"</f>
        <v>2.1.0.00.00- PASSIVO CIRCULANTE</v>
      </c>
      <c r="B118" s="10">
        <v>88326479.879999995</v>
      </c>
      <c r="C118" s="10">
        <v>3200843.26</v>
      </c>
      <c r="D118" s="10">
        <v>91527323.140000001</v>
      </c>
    </row>
    <row r="119" spans="1:4" x14ac:dyDescent="0.25">
      <c r="A119" s="2" t="str">
        <f>"2.1.1.00.00- OBRIGACOES COM PESSOAL"</f>
        <v>2.1.1.00.00- OBRIGACOES COM PESSOAL</v>
      </c>
      <c r="B119" s="10">
        <v>19251200.149999999</v>
      </c>
      <c r="C119" s="10">
        <v>92966.46</v>
      </c>
      <c r="D119" s="10">
        <v>19344166.609999999</v>
      </c>
    </row>
    <row r="120" spans="1:4" x14ac:dyDescent="0.25">
      <c r="A120" s="2" t="str">
        <f>"2.1.1.01.00- SALARIOS A PAGAR"</f>
        <v>2.1.1.01.00- SALARIOS A PAGAR</v>
      </c>
      <c r="B120" s="10">
        <v>19251200.149999999</v>
      </c>
      <c r="C120" s="10">
        <v>92966.46</v>
      </c>
      <c r="D120" s="10">
        <v>19344166.609999999</v>
      </c>
    </row>
    <row r="121" spans="1:4" x14ac:dyDescent="0.25">
      <c r="A121" s="2" t="str">
        <f>"2.1.1.01.01- Salarios a Pagar"</f>
        <v>2.1.1.01.01- Salarios a Pagar</v>
      </c>
      <c r="B121" s="10">
        <v>4703777.62</v>
      </c>
      <c r="C121" s="10">
        <v>-39714.639999999999</v>
      </c>
      <c r="D121" s="10">
        <v>4664062.9800000004</v>
      </c>
    </row>
    <row r="122" spans="1:4" x14ac:dyDescent="0.25">
      <c r="A122" s="2" t="str">
        <f>"2.1.1.01.02- Provisão 13º Salário"</f>
        <v>2.1.1.01.02- Provisão 13º Salário</v>
      </c>
      <c r="B122" s="10">
        <v>4344484.8099999996</v>
      </c>
      <c r="C122" s="10">
        <v>500289.36</v>
      </c>
      <c r="D122" s="10">
        <v>4844774.17</v>
      </c>
    </row>
    <row r="123" spans="1:4" x14ac:dyDescent="0.25">
      <c r="A123" s="2" t="str">
        <f>"2.1.1.01.03- Ferias a pagar"</f>
        <v>2.1.1.01.03- Ferias a pagar</v>
      </c>
      <c r="B123" s="10">
        <v>103395.05</v>
      </c>
      <c r="C123" s="10">
        <v>-96280.71</v>
      </c>
      <c r="D123" s="10">
        <v>7114.34</v>
      </c>
    </row>
    <row r="124" spans="1:4" x14ac:dyDescent="0.25">
      <c r="A124" s="2" t="str">
        <f>"2.1.1.01.05- Rescisoes a Pagar"</f>
        <v>2.1.1.01.05- Rescisoes a Pagar</v>
      </c>
      <c r="B124" s="10">
        <v>562.84</v>
      </c>
      <c r="C124" s="10">
        <v>883.62</v>
      </c>
      <c r="D124" s="10">
        <v>1446.46</v>
      </c>
    </row>
    <row r="125" spans="1:4" x14ac:dyDescent="0.25">
      <c r="A125" s="2" t="str">
        <f>"2.1.1.01.09- Provisao de Ferias"</f>
        <v>2.1.1.01.09- Provisao de Ferias</v>
      </c>
      <c r="B125" s="10">
        <v>7596001.6299999999</v>
      </c>
      <c r="C125" s="10">
        <v>55291.29</v>
      </c>
      <c r="D125" s="10">
        <v>7651292.9199999999</v>
      </c>
    </row>
    <row r="126" spans="1:4" x14ac:dyDescent="0.25">
      <c r="A126" s="2" t="str">
        <f>"2.1.1.01.11- Indenizações trabalhistas - ACT"</f>
        <v>2.1.1.01.11- Indenizações trabalhistas - ACT</v>
      </c>
      <c r="B126" s="10">
        <v>2502978.2000000002</v>
      </c>
      <c r="C126" s="10">
        <v>-327502.46000000002</v>
      </c>
      <c r="D126" s="10">
        <v>2175475.7400000002</v>
      </c>
    </row>
    <row r="127" spans="1:4" x14ac:dyDescent="0.25">
      <c r="A127" s="2" t="str">
        <f>"2.1.2.00.00- OBRIGACOES SOCIAIS A CURTO PRAZO"</f>
        <v>2.1.2.00.00- OBRIGACOES SOCIAIS A CURTO PRAZO</v>
      </c>
      <c r="B127" s="10">
        <v>7711140.9500000002</v>
      </c>
      <c r="C127" s="10">
        <v>198817.66</v>
      </c>
      <c r="D127" s="10">
        <v>7909958.6100000003</v>
      </c>
    </row>
    <row r="128" spans="1:4" x14ac:dyDescent="0.25">
      <c r="A128" s="2" t="str">
        <f>"2.1.2.01.00- OBRIGACOES SOCIAIS A RECOLHER"</f>
        <v>2.1.2.01.00- OBRIGACOES SOCIAIS A RECOLHER</v>
      </c>
      <c r="B128" s="10">
        <v>7711140.9500000002</v>
      </c>
      <c r="C128" s="10">
        <v>198817.66</v>
      </c>
      <c r="D128" s="10">
        <v>7909958.6100000003</v>
      </c>
    </row>
    <row r="129" spans="1:4" x14ac:dyDescent="0.25">
      <c r="A129" s="2" t="str">
        <f>"2.1.2.01.01- INSS a recolher s/Folha Pagto"</f>
        <v>2.1.2.01.01- INSS a recolher s/Folha Pagto</v>
      </c>
      <c r="B129" s="10">
        <v>2325987.12</v>
      </c>
      <c r="C129" s="10">
        <v>19893.509999999998</v>
      </c>
      <c r="D129" s="10">
        <v>2345880.63</v>
      </c>
    </row>
    <row r="130" spans="1:4" x14ac:dyDescent="0.25">
      <c r="A130" s="2" t="str">
        <f>"2.1.2.01.02- FGTS a recolher s/Folha Pagto"</f>
        <v>2.1.2.01.02- FGTS a recolher s/Folha Pagto</v>
      </c>
      <c r="B130" s="10">
        <v>512052.35</v>
      </c>
      <c r="C130" s="10">
        <v>12575.53</v>
      </c>
      <c r="D130" s="10">
        <v>524627.88</v>
      </c>
    </row>
    <row r="131" spans="1:4" x14ac:dyDescent="0.25">
      <c r="A131" s="2" t="str">
        <f>"2.1.2.01.05- Contribuicao Sindical"</f>
        <v>2.1.2.01.05- Contribuicao Sindical</v>
      </c>
      <c r="B131" s="10">
        <v>7485.12</v>
      </c>
      <c r="C131" s="10">
        <v>-1.1000000000000001</v>
      </c>
      <c r="D131" s="10">
        <v>7484.02</v>
      </c>
    </row>
    <row r="132" spans="1:4" x14ac:dyDescent="0.25">
      <c r="A132" s="2" t="str">
        <f>"2.1.2.01.06- INSS s/Provisao de Ferias"</f>
        <v>2.1.2.01.06- INSS s/Provisao de Ferias</v>
      </c>
      <c r="B132" s="10">
        <v>2204080.4700000002</v>
      </c>
      <c r="C132" s="10">
        <v>-8631.56</v>
      </c>
      <c r="D132" s="10">
        <v>2195448.91</v>
      </c>
    </row>
    <row r="133" spans="1:4" x14ac:dyDescent="0.25">
      <c r="A133" s="2" t="str">
        <f>"2.1.2.01.07- AEB - Assoc. Empreg. BHTRANS"</f>
        <v>2.1.2.01.07- AEB - Assoc. Empreg. BHTRANS</v>
      </c>
      <c r="B133" s="10">
        <v>4884.83</v>
      </c>
      <c r="C133" s="10">
        <v>-12.59</v>
      </c>
      <c r="D133" s="10">
        <v>4872.24</v>
      </c>
    </row>
    <row r="134" spans="1:4" x14ac:dyDescent="0.25">
      <c r="A134" s="2" t="str">
        <f>"2.1.2.01.09- INSS a Recolher s/Autonomos"</f>
        <v>2.1.2.01.09- INSS a Recolher s/Autonomos</v>
      </c>
      <c r="B134" s="10">
        <v>1965.44</v>
      </c>
      <c r="C134" s="10">
        <v>-1965.44</v>
      </c>
      <c r="D134" s="10">
        <v>0</v>
      </c>
    </row>
    <row r="135" spans="1:4" x14ac:dyDescent="0.25">
      <c r="A135" s="2" t="str">
        <f>"2.1.2.01.10- INSS s/Provisao de 13.Salario"</f>
        <v>2.1.2.01.10- INSS s/Provisao de 13.Salario</v>
      </c>
      <c r="B135" s="10">
        <v>1263399.51</v>
      </c>
      <c r="C135" s="10">
        <v>128753.17</v>
      </c>
      <c r="D135" s="10">
        <v>1392152.68</v>
      </c>
    </row>
    <row r="136" spans="1:4" x14ac:dyDescent="0.25">
      <c r="A136" s="2" t="str">
        <f>"2.1.2.01.11- FGTS s/Provisao de 13.Salario"</f>
        <v>2.1.2.01.11- FGTS s/Provisao de 13.Salario</v>
      </c>
      <c r="B136" s="10">
        <v>146186.35</v>
      </c>
      <c r="C136" s="10">
        <v>38203.42</v>
      </c>
      <c r="D136" s="10">
        <v>184389.77</v>
      </c>
    </row>
    <row r="137" spans="1:4" x14ac:dyDescent="0.25">
      <c r="A137" s="2" t="str">
        <f>"2.1.2.01.12- FGTS s/Provisao de Ferias"</f>
        <v>2.1.2.01.12- FGTS s/Provisao de Ferias</v>
      </c>
      <c r="B137" s="10">
        <v>606925.97</v>
      </c>
      <c r="C137" s="10">
        <v>4509.74</v>
      </c>
      <c r="D137" s="10">
        <v>611435.71</v>
      </c>
    </row>
    <row r="138" spans="1:4" x14ac:dyDescent="0.25">
      <c r="A138" s="2" t="str">
        <f>"2.1.2.01.13- Contribuicao ao PAMEH"</f>
        <v>2.1.2.01.13- Contribuicao ao PAMEH</v>
      </c>
      <c r="B138" s="10">
        <v>460235.28</v>
      </c>
      <c r="C138" s="10">
        <v>8532.5400000000009</v>
      </c>
      <c r="D138" s="10">
        <v>468767.82</v>
      </c>
    </row>
    <row r="139" spans="1:4" x14ac:dyDescent="0.25">
      <c r="A139" s="2" t="str">
        <f>"2.1.2.01.15- Crediserv-BH"</f>
        <v>2.1.2.01.15- Crediserv-BH</v>
      </c>
      <c r="B139" s="10">
        <v>18942.93</v>
      </c>
      <c r="C139" s="10">
        <v>-601.77</v>
      </c>
      <c r="D139" s="10">
        <v>18341.16</v>
      </c>
    </row>
    <row r="140" spans="1:4" x14ac:dyDescent="0.25">
      <c r="A140" s="2" t="str">
        <f>"2.1.2.01.16- INSS Fonte a Recolher - PJ"</f>
        <v>2.1.2.01.16- INSS Fonte a Recolher - PJ</v>
      </c>
      <c r="B140" s="10">
        <v>158019.04999999999</v>
      </c>
      <c r="C140" s="10">
        <v>-2221.89</v>
      </c>
      <c r="D140" s="10">
        <v>155797.16</v>
      </c>
    </row>
    <row r="141" spans="1:4" x14ac:dyDescent="0.25">
      <c r="A141" s="2" t="str">
        <f>"2.1.2.01.18- INSS Fonte a Recolher - P F"</f>
        <v>2.1.2.01.18- INSS Fonte a Recolher - P F</v>
      </c>
      <c r="B141" s="10">
        <v>976.53</v>
      </c>
      <c r="C141" s="10">
        <v>-215.9</v>
      </c>
      <c r="D141" s="10">
        <v>760.63</v>
      </c>
    </row>
    <row r="142" spans="1:4" x14ac:dyDescent="0.25">
      <c r="A142" s="2" t="str">
        <f>"2.1.3.00.00- OBRIGACOES FISCAIS A CURTO PRAZO"</f>
        <v>2.1.3.00.00- OBRIGACOES FISCAIS A CURTO PRAZO</v>
      </c>
      <c r="B142" s="10">
        <v>2201173.46</v>
      </c>
      <c r="C142" s="10">
        <v>53218.64</v>
      </c>
      <c r="D142" s="10">
        <v>2254392.1</v>
      </c>
    </row>
    <row r="143" spans="1:4" x14ac:dyDescent="0.25">
      <c r="A143" s="2" t="str">
        <f>"2.1.3.01.00- IMPOSTOS E TAXAS A RECOLHER"</f>
        <v>2.1.3.01.00- IMPOSTOS E TAXAS A RECOLHER</v>
      </c>
      <c r="B143" s="10">
        <v>2201173.46</v>
      </c>
      <c r="C143" s="10">
        <v>53218.64</v>
      </c>
      <c r="D143" s="10">
        <v>2254392.1</v>
      </c>
    </row>
    <row r="144" spans="1:4" x14ac:dyDescent="0.25">
      <c r="A144" s="2" t="str">
        <f>"2.1.3.01.01- IRRF Fonte Folha Pagto"</f>
        <v>2.1.3.01.01- IRRF Fonte Folha Pagto</v>
      </c>
      <c r="B144" s="10">
        <v>725229.89</v>
      </c>
      <c r="C144" s="10">
        <v>60270.31</v>
      </c>
      <c r="D144" s="10">
        <v>785500.2</v>
      </c>
    </row>
    <row r="145" spans="1:4" x14ac:dyDescent="0.25">
      <c r="A145" s="2" t="str">
        <f>"2.1.3.01.03- IRRF Fonte - Pessoa  Juridica e Física"</f>
        <v>2.1.3.01.03- IRRF Fonte - Pessoa  Juridica e Física</v>
      </c>
      <c r="B145" s="10">
        <v>17719.419999999998</v>
      </c>
      <c r="C145" s="10">
        <v>1790.65</v>
      </c>
      <c r="D145" s="10">
        <v>19510.07</v>
      </c>
    </row>
    <row r="146" spans="1:4" x14ac:dyDescent="0.25">
      <c r="A146" s="2" t="str">
        <f>"2.1.3.01.04- ISS Retido Fonte PF"</f>
        <v>2.1.3.01.04- ISS Retido Fonte PF</v>
      </c>
      <c r="B146" s="10">
        <v>0</v>
      </c>
      <c r="C146" s="10">
        <v>375</v>
      </c>
      <c r="D146" s="10">
        <v>375</v>
      </c>
    </row>
    <row r="147" spans="1:4" x14ac:dyDescent="0.25">
      <c r="A147" s="2" t="str">
        <f>"2.1.3.01.05- ISS S/ Faturamento"</f>
        <v>2.1.3.01.05- ISS S/ Faturamento</v>
      </c>
      <c r="B147" s="10">
        <v>561.12</v>
      </c>
      <c r="C147" s="10">
        <v>4358.71</v>
      </c>
      <c r="D147" s="10">
        <v>4919.83</v>
      </c>
    </row>
    <row r="148" spans="1:4" x14ac:dyDescent="0.25">
      <c r="A148" s="2" t="str">
        <f>"2.1.3.01.07- COFINS a Recolher"</f>
        <v>2.1.3.01.07- COFINS a Recolher</v>
      </c>
      <c r="B148" s="10">
        <v>1122280.78</v>
      </c>
      <c r="C148" s="10">
        <v>-15518.33</v>
      </c>
      <c r="D148" s="10">
        <v>1106762.45</v>
      </c>
    </row>
    <row r="149" spans="1:4" x14ac:dyDescent="0.25">
      <c r="A149" s="2" t="str">
        <f>"2.1.3.01.08- PIS a Recolher"</f>
        <v>2.1.3.01.08- PIS a Recolher</v>
      </c>
      <c r="B149" s="10">
        <v>243433.1</v>
      </c>
      <c r="C149" s="10">
        <v>-3413.08</v>
      </c>
      <c r="D149" s="10">
        <v>240020.02</v>
      </c>
    </row>
    <row r="150" spans="1:4" x14ac:dyDescent="0.25">
      <c r="A150" s="2" t="str">
        <f>"2.1.3.01.09- ISS Fonte a Recolher P.Juridica"</f>
        <v>2.1.3.01.09- ISS Fonte a Recolher P.Juridica</v>
      </c>
      <c r="B150" s="10">
        <v>4196.0600000000004</v>
      </c>
      <c r="C150" s="10">
        <v>520.21</v>
      </c>
      <c r="D150" s="10">
        <v>4716.2700000000004</v>
      </c>
    </row>
    <row r="151" spans="1:4" x14ac:dyDescent="0.25">
      <c r="A151" s="2" t="str">
        <f>"2.1.3.01.12- CSLL-COFINS-PIS - FONTE"</f>
        <v>2.1.3.01.12- CSLL-COFINS-PIS - FONTE</v>
      </c>
      <c r="B151" s="10">
        <v>87753.09</v>
      </c>
      <c r="C151" s="10">
        <v>4835.17</v>
      </c>
      <c r="D151" s="10">
        <v>92588.26</v>
      </c>
    </row>
    <row r="152" spans="1:4" x14ac:dyDescent="0.25">
      <c r="A152" s="2" t="str">
        <f>"2.1.4.00.00- OUTRAS OBRIGACOES A CURTO PRAZO"</f>
        <v>2.1.4.00.00- OUTRAS OBRIGACOES A CURTO PRAZO</v>
      </c>
      <c r="B152" s="10">
        <v>59117666.789999999</v>
      </c>
      <c r="C152" s="10">
        <v>2852180.76</v>
      </c>
      <c r="D152" s="10">
        <v>61969847.549999997</v>
      </c>
    </row>
    <row r="153" spans="1:4" x14ac:dyDescent="0.25">
      <c r="A153" s="2" t="str">
        <f>"2.1.4.01.00- FORNECEDORES"</f>
        <v>2.1.4.01.00- FORNECEDORES</v>
      </c>
      <c r="B153" s="10">
        <v>2813598.38</v>
      </c>
      <c r="C153" s="10">
        <v>449415.33</v>
      </c>
      <c r="D153" s="10">
        <v>3263013.71</v>
      </c>
    </row>
    <row r="154" spans="1:4" x14ac:dyDescent="0.25">
      <c r="A154" s="2" t="str">
        <f>"2.1.4.01.98- Fornecedores - Pameh"</f>
        <v>2.1.4.01.98- Fornecedores - Pameh</v>
      </c>
      <c r="B154" s="10">
        <v>0</v>
      </c>
      <c r="C154" s="10">
        <v>1153.45</v>
      </c>
      <c r="D154" s="10">
        <v>1153.45</v>
      </c>
    </row>
    <row r="155" spans="1:4" x14ac:dyDescent="0.25">
      <c r="A155" s="2" t="str">
        <f>"2.1.4.01.99- Fornecedores"</f>
        <v>2.1.4.01.99- Fornecedores</v>
      </c>
      <c r="B155" s="10">
        <v>2813598.38</v>
      </c>
      <c r="C155" s="10">
        <v>448261.88</v>
      </c>
      <c r="D155" s="10">
        <v>3261860.26</v>
      </c>
    </row>
    <row r="156" spans="1:4" x14ac:dyDescent="0.25">
      <c r="A156" s="2" t="str">
        <f>"2.1.4.02.00- CONTAS A PAGAR"</f>
        <v>2.1.4.02.00- CONTAS A PAGAR</v>
      </c>
      <c r="B156" s="10">
        <v>485559.5</v>
      </c>
      <c r="C156" s="10">
        <v>74476.149999999994</v>
      </c>
      <c r="D156" s="10">
        <v>560035.65</v>
      </c>
    </row>
    <row r="157" spans="1:4" x14ac:dyDescent="0.25">
      <c r="A157" s="2" t="str">
        <f>"2.1.4.02.01- Emprestimo Consignado - Bradesco"</f>
        <v>2.1.4.02.01- Emprestimo Consignado - Bradesco</v>
      </c>
      <c r="B157" s="10">
        <v>145015.18</v>
      </c>
      <c r="C157" s="10">
        <v>2408.31</v>
      </c>
      <c r="D157" s="10">
        <v>147423.49</v>
      </c>
    </row>
    <row r="158" spans="1:4" x14ac:dyDescent="0.25">
      <c r="A158" s="2" t="str">
        <f>"2.1.4.02.03- Emprestimo Consignado - CEF"</f>
        <v>2.1.4.02.03- Emprestimo Consignado - CEF</v>
      </c>
      <c r="B158" s="10">
        <v>21664.33</v>
      </c>
      <c r="C158" s="10">
        <v>-1063.03</v>
      </c>
      <c r="D158" s="10">
        <v>20601.3</v>
      </c>
    </row>
    <row r="159" spans="1:4" x14ac:dyDescent="0.25">
      <c r="A159" s="2" t="str">
        <f>"2.1.4.02.04- Emprestimo Consignado - B.Brasil"</f>
        <v>2.1.4.02.04- Emprestimo Consignado - B.Brasil</v>
      </c>
      <c r="B159" s="10">
        <v>57886.03</v>
      </c>
      <c r="C159" s="10">
        <v>1827.38</v>
      </c>
      <c r="D159" s="10">
        <v>59713.41</v>
      </c>
    </row>
    <row r="160" spans="1:4" x14ac:dyDescent="0.25">
      <c r="A160" s="2" t="str">
        <f>"2.1.4.02.05- Emprestimo Consignado-Banco Alfa"</f>
        <v>2.1.4.02.05- Emprestimo Consignado-Banco Alfa</v>
      </c>
      <c r="B160" s="10">
        <v>49917.120000000003</v>
      </c>
      <c r="C160" s="10">
        <v>-1207.99</v>
      </c>
      <c r="D160" s="10">
        <v>48709.13</v>
      </c>
    </row>
    <row r="161" spans="1:4" x14ac:dyDescent="0.25">
      <c r="A161" s="2" t="str">
        <f>"2.1.4.02.07- Emprestimo Consignado - B. Safra"</f>
        <v>2.1.4.02.07- Emprestimo Consignado - B. Safra</v>
      </c>
      <c r="B161" s="10">
        <v>9691.65</v>
      </c>
      <c r="C161" s="10">
        <v>19.73</v>
      </c>
      <c r="D161" s="10">
        <v>9711.3799999999992</v>
      </c>
    </row>
    <row r="162" spans="1:4" x14ac:dyDescent="0.25">
      <c r="A162" s="2" t="str">
        <f>"2.1.4.02.09- Emprestimo Consignado - BMC"</f>
        <v>2.1.4.02.09- Emprestimo Consignado - BMC</v>
      </c>
      <c r="B162" s="10">
        <v>307.8</v>
      </c>
      <c r="C162" s="10">
        <v>-307.8</v>
      </c>
      <c r="D162" s="10">
        <v>0</v>
      </c>
    </row>
    <row r="163" spans="1:4" x14ac:dyDescent="0.25">
      <c r="A163" s="2" t="str">
        <f>"2.1.4.02.10- Cartão - BMG Card"</f>
        <v>2.1.4.02.10- Cartão - BMG Card</v>
      </c>
      <c r="B163" s="10">
        <v>9949.76</v>
      </c>
      <c r="C163" s="10">
        <v>75.25</v>
      </c>
      <c r="D163" s="10">
        <v>10025.01</v>
      </c>
    </row>
    <row r="164" spans="1:4" x14ac:dyDescent="0.25">
      <c r="A164" s="2" t="str">
        <f>"2.1.4.02.11- Contrib.Entid.Classe"</f>
        <v>2.1.4.02.11- Contrib.Entid.Classe</v>
      </c>
      <c r="B164" s="10">
        <v>0</v>
      </c>
      <c r="C164" s="10">
        <v>218.54</v>
      </c>
      <c r="D164" s="10">
        <v>218.54</v>
      </c>
    </row>
    <row r="165" spans="1:4" x14ac:dyDescent="0.25">
      <c r="A165" s="2" t="str">
        <f>"2.1.4.02.12- Custas judiciais"</f>
        <v>2.1.4.02.12- Custas judiciais</v>
      </c>
      <c r="B165" s="10">
        <v>202.88</v>
      </c>
      <c r="C165" s="10">
        <v>6797.12</v>
      </c>
      <c r="D165" s="10">
        <v>7000</v>
      </c>
    </row>
    <row r="166" spans="1:4" x14ac:dyDescent="0.25">
      <c r="A166" s="2" t="str">
        <f>"2.1.4.02.99- Contas a Pagar"</f>
        <v>2.1.4.02.99- Contas a Pagar</v>
      </c>
      <c r="B166" s="10">
        <v>190924.75</v>
      </c>
      <c r="C166" s="10">
        <v>65708.639999999999</v>
      </c>
      <c r="D166" s="10">
        <v>256633.39</v>
      </c>
    </row>
    <row r="167" spans="1:4" x14ac:dyDescent="0.25">
      <c r="A167" s="2" t="str">
        <f>"2.1.4.03.00- CREDORES DIVERSOS"</f>
        <v>2.1.4.03.00- CREDORES DIVERSOS</v>
      </c>
      <c r="B167" s="10">
        <v>55098021.579999998</v>
      </c>
      <c r="C167" s="10">
        <v>2328289.2799999998</v>
      </c>
      <c r="D167" s="10">
        <v>57426310.859999999</v>
      </c>
    </row>
    <row r="168" spans="1:4" x14ac:dyDescent="0.25">
      <c r="A168" s="2" t="str">
        <f>"2.1.4.03.07- Adiantamento Acionista - Municipio BH"</f>
        <v>2.1.4.03.07- Adiantamento Acionista - Municipio BH</v>
      </c>
      <c r="B168" s="10">
        <v>55098021.579999998</v>
      </c>
      <c r="C168" s="10">
        <v>2328289.2799999998</v>
      </c>
      <c r="D168" s="10">
        <v>57426310.859999999</v>
      </c>
    </row>
    <row r="169" spans="1:4" x14ac:dyDescent="0.25">
      <c r="A169" s="2" t="str">
        <f>"2.1.4.04.00- CAUCAO DE TERCEIROS/LEILAO"</f>
        <v>2.1.4.04.00- CAUCAO DE TERCEIROS/LEILAO</v>
      </c>
      <c r="B169" s="10">
        <v>720487.33</v>
      </c>
      <c r="C169" s="10">
        <v>0</v>
      </c>
      <c r="D169" s="10">
        <v>720487.33</v>
      </c>
    </row>
    <row r="170" spans="1:4" x14ac:dyDescent="0.25">
      <c r="A170" s="2" t="str">
        <f>"2.1.4.04.98- Leilões"</f>
        <v>2.1.4.04.98- Leilões</v>
      </c>
      <c r="B170" s="10">
        <v>554111.25</v>
      </c>
      <c r="C170" s="10">
        <v>0</v>
      </c>
      <c r="D170" s="10">
        <v>554111.25</v>
      </c>
    </row>
    <row r="171" spans="1:4" x14ac:dyDescent="0.25">
      <c r="A171" s="2" t="str">
        <f>"2.1.4.04.99- Caucao de Terceiros"</f>
        <v>2.1.4.04.99- Caucao de Terceiros</v>
      </c>
      <c r="B171" s="10">
        <v>166376.07999999999</v>
      </c>
      <c r="C171" s="10">
        <v>0</v>
      </c>
      <c r="D171" s="10">
        <v>166376.07999999999</v>
      </c>
    </row>
    <row r="172" spans="1:4" x14ac:dyDescent="0.25">
      <c r="A172" s="2" t="str">
        <f>"2.1.6.00.00- OBRIGACOES VINC. A PAGAR-PAMEH"</f>
        <v>2.1.6.00.00- OBRIGACOES VINC. A PAGAR-PAMEH</v>
      </c>
      <c r="B172" s="10">
        <v>45298.53</v>
      </c>
      <c r="C172" s="10">
        <v>3659.74</v>
      </c>
      <c r="D172" s="10">
        <v>48958.27</v>
      </c>
    </row>
    <row r="173" spans="1:4" x14ac:dyDescent="0.25">
      <c r="A173" s="2" t="str">
        <f>"2.1.6.01.00- OBRIGACOES VINC. -PAMEH"</f>
        <v>2.1.6.01.00- OBRIGACOES VINC. -PAMEH</v>
      </c>
      <c r="B173" s="10">
        <v>45298.53</v>
      </c>
      <c r="C173" s="10">
        <v>3659.74</v>
      </c>
      <c r="D173" s="10">
        <v>48958.27</v>
      </c>
    </row>
    <row r="174" spans="1:4" x14ac:dyDescent="0.25">
      <c r="A174" s="2" t="str">
        <f>"2.1.6.01.01- Obrigacoes Vinculadas - PAMEH"</f>
        <v>2.1.6.01.01- Obrigacoes Vinculadas - PAMEH</v>
      </c>
      <c r="B174" s="10">
        <v>45298.53</v>
      </c>
      <c r="C174" s="10">
        <v>3659.74</v>
      </c>
      <c r="D174" s="10">
        <v>48958.27</v>
      </c>
    </row>
    <row r="175" spans="1:4" x14ac:dyDescent="0.25">
      <c r="A175" s="2" t="str">
        <f>"2.2.0.00.00- PASSIVO NAO CIRCULANTE"</f>
        <v>2.2.0.00.00- PASSIVO NAO CIRCULANTE</v>
      </c>
      <c r="B175" s="10">
        <v>46838568.93</v>
      </c>
      <c r="C175" s="10">
        <v>-121430.6</v>
      </c>
      <c r="D175" s="10">
        <v>46717138.329999998</v>
      </c>
    </row>
    <row r="176" spans="1:4" x14ac:dyDescent="0.25">
      <c r="A176" s="2" t="str">
        <f>"2.2.4.00.00- OUTRAS OBRIGACOES A LONGO PRAZO"</f>
        <v>2.2.4.00.00- OUTRAS OBRIGACOES A LONGO PRAZO</v>
      </c>
      <c r="B176" s="10">
        <v>44457209.969999999</v>
      </c>
      <c r="C176" s="10">
        <v>0</v>
      </c>
      <c r="D176" s="10">
        <v>44457209.969999999</v>
      </c>
    </row>
    <row r="177" spans="1:4" x14ac:dyDescent="0.25">
      <c r="A177" s="2" t="str">
        <f>"2.2.4.01.00- CREDORES DIVERSOS"</f>
        <v>2.2.4.01.00- CREDORES DIVERSOS</v>
      </c>
      <c r="B177" s="10">
        <v>10868557.66</v>
      </c>
      <c r="C177" s="10">
        <v>0</v>
      </c>
      <c r="D177" s="10">
        <v>10868557.66</v>
      </c>
    </row>
    <row r="178" spans="1:4" x14ac:dyDescent="0.25">
      <c r="A178" s="2" t="str">
        <f>"2.2.4.01.04- Provisão para Contingências Fiscais"</f>
        <v>2.2.4.01.04- Provisão para Contingências Fiscais</v>
      </c>
      <c r="B178" s="10">
        <v>9926702.7200000007</v>
      </c>
      <c r="C178" s="10">
        <v>0</v>
      </c>
      <c r="D178" s="10">
        <v>9926702.7200000007</v>
      </c>
    </row>
    <row r="179" spans="1:4" x14ac:dyDescent="0.25">
      <c r="A179" s="2" t="str">
        <f>"2.2.4.01.05- INSS Segurados"</f>
        <v>2.2.4.01.05- INSS Segurados</v>
      </c>
      <c r="B179" s="10">
        <v>941854.94</v>
      </c>
      <c r="C179" s="10">
        <v>0</v>
      </c>
      <c r="D179" s="10">
        <v>941854.94</v>
      </c>
    </row>
    <row r="180" spans="1:4" x14ac:dyDescent="0.25">
      <c r="A180" s="2" t="str">
        <f>"2.2.4.04.00- ACOES JUDICIAIS E TRABALHISTAS"</f>
        <v>2.2.4.04.00- ACOES JUDICIAIS E TRABALHISTAS</v>
      </c>
      <c r="B180" s="10">
        <v>33588652.310000002</v>
      </c>
      <c r="C180" s="10">
        <v>0</v>
      </c>
      <c r="D180" s="10">
        <v>33588652.310000002</v>
      </c>
    </row>
    <row r="181" spans="1:4" x14ac:dyDescent="0.25">
      <c r="A181" s="2" t="str">
        <f>"2.2.4.04.01- Acoes judiciais"</f>
        <v>2.2.4.04.01- Acoes judiciais</v>
      </c>
      <c r="B181" s="10">
        <v>16494009.210000001</v>
      </c>
      <c r="C181" s="10">
        <v>0</v>
      </c>
      <c r="D181" s="10">
        <v>16494009.210000001</v>
      </c>
    </row>
    <row r="182" spans="1:4" x14ac:dyDescent="0.25">
      <c r="A182" s="2" t="str">
        <f>"2.2.4.04.02- Acoes trabalhistas"</f>
        <v>2.2.4.04.02- Acoes trabalhistas</v>
      </c>
      <c r="B182" s="10">
        <v>17094643.100000001</v>
      </c>
      <c r="C182" s="10">
        <v>0</v>
      </c>
      <c r="D182" s="10">
        <v>17094643.100000001</v>
      </c>
    </row>
    <row r="183" spans="1:4" x14ac:dyDescent="0.25">
      <c r="A183" s="2" t="str">
        <f>"2.2.5.00.00- OBRIGACOES VINC.  AO PAMEH"</f>
        <v>2.2.5.00.00- OBRIGACOES VINC.  AO PAMEH</v>
      </c>
      <c r="B183" s="10">
        <v>2381358.96</v>
      </c>
      <c r="C183" s="10">
        <v>-121430.6</v>
      </c>
      <c r="D183" s="10">
        <v>2259928.36</v>
      </c>
    </row>
    <row r="184" spans="1:4" x14ac:dyDescent="0.25">
      <c r="A184" s="2" t="str">
        <f>"2.2.5.01.00- OBRIGACOES VINC.  AO PAMEH"</f>
        <v>2.2.5.01.00- OBRIGACOES VINC.  AO PAMEH</v>
      </c>
      <c r="B184" s="10">
        <v>2381358.96</v>
      </c>
      <c r="C184" s="10">
        <v>-121430.6</v>
      </c>
      <c r="D184" s="10">
        <v>2259928.36</v>
      </c>
    </row>
    <row r="185" spans="1:4" x14ac:dyDescent="0.25">
      <c r="A185" s="2" t="str">
        <f>"2.2.5.01.01- Resultado Exerc.Anteriores-PAMEH"</f>
        <v>2.2.5.01.01- Resultado Exerc.Anteriores-PAMEH</v>
      </c>
      <c r="B185" s="10">
        <v>3478307.51</v>
      </c>
      <c r="C185" s="10">
        <v>0</v>
      </c>
      <c r="D185" s="10">
        <v>3478307.51</v>
      </c>
    </row>
    <row r="186" spans="1:4" x14ac:dyDescent="0.25">
      <c r="A186" s="2" t="str">
        <f>"2.2.5.01.02- Resultado deste Exercicio-PAMEH"</f>
        <v>2.2.5.01.02- Resultado deste Exercicio-PAMEH</v>
      </c>
      <c r="B186" s="10">
        <v>-1096948.55</v>
      </c>
      <c r="C186" s="10">
        <v>-121430.6</v>
      </c>
      <c r="D186" s="10">
        <v>-1218379.1499999999</v>
      </c>
    </row>
    <row r="187" spans="1:4" x14ac:dyDescent="0.25">
      <c r="A187" s="2" t="str">
        <f>"2.4.0.00.00- PATRIMONIO LIQUIDO"</f>
        <v>2.4.0.00.00- PATRIMONIO LIQUIDO</v>
      </c>
      <c r="B187" s="10">
        <v>-76314423.5</v>
      </c>
      <c r="C187" s="10">
        <v>0</v>
      </c>
      <c r="D187" s="10">
        <v>-76314423.5</v>
      </c>
    </row>
    <row r="188" spans="1:4" x14ac:dyDescent="0.25">
      <c r="A188" s="2" t="str">
        <f>"2.4.1.00.00- CAPITAL SOCIAL"</f>
        <v>2.4.1.00.00- CAPITAL SOCIAL</v>
      </c>
      <c r="B188" s="10">
        <v>67418193.159999996</v>
      </c>
      <c r="C188" s="10">
        <v>0</v>
      </c>
      <c r="D188" s="10">
        <v>67418193.159999996</v>
      </c>
    </row>
    <row r="189" spans="1:4" x14ac:dyDescent="0.25">
      <c r="A189" s="2" t="str">
        <f>"2.4.1.02.00- CAPITAL REALIZADO"</f>
        <v>2.4.1.02.00- CAPITAL REALIZADO</v>
      </c>
      <c r="B189" s="10">
        <v>67418193.159999996</v>
      </c>
      <c r="C189" s="10">
        <v>0</v>
      </c>
      <c r="D189" s="10">
        <v>67418193.159999996</v>
      </c>
    </row>
    <row r="190" spans="1:4" x14ac:dyDescent="0.25">
      <c r="A190" s="2" t="str">
        <f>"2.4.1.02.01- Capital Subscrito"</f>
        <v>2.4.1.02.01- Capital Subscrito</v>
      </c>
      <c r="B190" s="10">
        <v>75000000</v>
      </c>
      <c r="C190" s="10">
        <v>0</v>
      </c>
      <c r="D190" s="10">
        <v>75000000</v>
      </c>
    </row>
    <row r="191" spans="1:4" x14ac:dyDescent="0.25">
      <c r="A191" s="2" t="str">
        <f>"2.4.1.02.04- Capital a Realizar"</f>
        <v>2.4.1.02.04- Capital a Realizar</v>
      </c>
      <c r="B191" s="10">
        <v>-7581806.8399999999</v>
      </c>
      <c r="C191" s="10">
        <v>0</v>
      </c>
      <c r="D191" s="10">
        <v>-7581806.8399999999</v>
      </c>
    </row>
    <row r="192" spans="1:4" x14ac:dyDescent="0.25">
      <c r="A192" s="2" t="str">
        <f>"2.4.3.00.00- RESULTADOS ACUMULADOS"</f>
        <v>2.4.3.00.00- RESULTADOS ACUMULADOS</v>
      </c>
      <c r="B192" s="10">
        <v>-143732616.66</v>
      </c>
      <c r="C192" s="10">
        <v>0</v>
      </c>
      <c r="D192" s="10">
        <v>-143732616.66</v>
      </c>
    </row>
    <row r="193" spans="1:4" x14ac:dyDescent="0.25">
      <c r="A193" s="2" t="str">
        <f>"2.4.3.01.00- LUCROS/PREJUIZOS ACUMULADOS"</f>
        <v>2.4.3.01.00- LUCROS/PREJUIZOS ACUMULADOS</v>
      </c>
      <c r="B193" s="10">
        <v>-143732616.66</v>
      </c>
      <c r="C193" s="10">
        <v>0</v>
      </c>
      <c r="D193" s="10">
        <v>-143732616.66</v>
      </c>
    </row>
    <row r="194" spans="1:4" x14ac:dyDescent="0.25">
      <c r="A194" s="2" t="str">
        <f>"2.4.3.01.01- Resultados de Exerc. Anteriores"</f>
        <v>2.4.3.01.01- Resultados de Exerc. Anteriores</v>
      </c>
      <c r="B194" s="10">
        <v>-144079394.25</v>
      </c>
      <c r="C194" s="10">
        <v>0</v>
      </c>
      <c r="D194" s="10">
        <v>-144079394.25</v>
      </c>
    </row>
    <row r="195" spans="1:4" x14ac:dyDescent="0.25">
      <c r="A195" s="2" t="str">
        <f>"2.4.3.01.03- Ajuste do Exercicio Anterior"</f>
        <v>2.4.3.01.03- Ajuste do Exercicio Anterior</v>
      </c>
      <c r="B195" s="10">
        <v>346777.59</v>
      </c>
      <c r="C195" s="10">
        <v>0</v>
      </c>
      <c r="D195" s="10">
        <v>346777.59</v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"DESPESAS"</f>
        <v>DESPESAS</v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"3.0.0.00.00- DESPESAS"</f>
        <v>3.0.0.00.00- DESPESAS</v>
      </c>
      <c r="B204" s="10">
        <v>125941842.31</v>
      </c>
      <c r="C204" s="10">
        <v>13624119.34</v>
      </c>
      <c r="D204" s="10">
        <v>139565961.65000001</v>
      </c>
    </row>
    <row r="205" spans="1:4" x14ac:dyDescent="0.25">
      <c r="A205" s="2" t="str">
        <f>"3.1.0.00.00- DESPESAS OPERACIONAIS"</f>
        <v>3.1.0.00.00- DESPESAS OPERACIONAIS</v>
      </c>
      <c r="B205" s="10">
        <v>125941842.31</v>
      </c>
      <c r="C205" s="10">
        <v>13624119.34</v>
      </c>
      <c r="D205" s="10">
        <v>139565961.65000001</v>
      </c>
    </row>
    <row r="206" spans="1:4" x14ac:dyDescent="0.25">
      <c r="A206" s="2" t="str">
        <f>"3.1.1.00.00- SALARIOS ADICIONAIS E HONORARIOS"</f>
        <v>3.1.1.00.00- SALARIOS ADICIONAIS E HONORARIOS</v>
      </c>
      <c r="B206" s="10">
        <v>66911856.689999998</v>
      </c>
      <c r="C206" s="10">
        <v>7196231.3799999999</v>
      </c>
      <c r="D206" s="10">
        <v>74108088.069999993</v>
      </c>
    </row>
    <row r="207" spans="1:4" x14ac:dyDescent="0.25">
      <c r="A207" s="2" t="str">
        <f>"3.1.1.00.01- Honorarios diretoria"</f>
        <v>3.1.1.00.01- Honorarios diretoria</v>
      </c>
      <c r="B207" s="10">
        <v>750632.51</v>
      </c>
      <c r="C207" s="10">
        <v>86015.62</v>
      </c>
      <c r="D207" s="10">
        <v>836648.13</v>
      </c>
    </row>
    <row r="208" spans="1:4" x14ac:dyDescent="0.25">
      <c r="A208" s="2" t="str">
        <f>"3.1.1.00.02- Honorarios conselho fiscal"</f>
        <v>3.1.1.00.02- Honorarios conselho fiscal</v>
      </c>
      <c r="B208" s="10">
        <v>46033</v>
      </c>
      <c r="C208" s="10">
        <v>5311.5</v>
      </c>
      <c r="D208" s="10">
        <v>51344.5</v>
      </c>
    </row>
    <row r="209" spans="1:4" x14ac:dyDescent="0.25">
      <c r="A209" s="2" t="str">
        <f>"3.1.1.00.03- Honorarios cons. administracao"</f>
        <v>3.1.1.00.03- Honorarios cons. administracao</v>
      </c>
      <c r="B209" s="10">
        <v>78735.7</v>
      </c>
      <c r="C209" s="10">
        <v>4162.24</v>
      </c>
      <c r="D209" s="10">
        <v>82897.94</v>
      </c>
    </row>
    <row r="210" spans="1:4" x14ac:dyDescent="0.25">
      <c r="A210" s="2" t="str">
        <f>"3.1.1.00.04- Salarios e adicionais"</f>
        <v>3.1.1.00.04- Salarios e adicionais</v>
      </c>
      <c r="B210" s="10">
        <v>50939397.079999998</v>
      </c>
      <c r="C210" s="10">
        <v>5855044.7400000002</v>
      </c>
      <c r="D210" s="10">
        <v>56794441.82</v>
      </c>
    </row>
    <row r="211" spans="1:4" x14ac:dyDescent="0.25">
      <c r="A211" s="2" t="str">
        <f>"3.1.1.00.05- Ferias e abono pecuniario"</f>
        <v>3.1.1.00.05- Ferias e abono pecuniario</v>
      </c>
      <c r="B211" s="10">
        <v>6629204.4100000001</v>
      </c>
      <c r="C211" s="10">
        <v>722855.27</v>
      </c>
      <c r="D211" s="10">
        <v>7352059.6799999997</v>
      </c>
    </row>
    <row r="212" spans="1:4" x14ac:dyDescent="0.25">
      <c r="A212" s="2" t="str">
        <f>"3.1.1.00.06- Decimo terceiro salario"</f>
        <v>3.1.1.00.06- Decimo terceiro salario</v>
      </c>
      <c r="B212" s="10">
        <v>4378929.62</v>
      </c>
      <c r="C212" s="10">
        <v>501849.55</v>
      </c>
      <c r="D212" s="10">
        <v>4880779.17</v>
      </c>
    </row>
    <row r="213" spans="1:4" x14ac:dyDescent="0.25">
      <c r="A213" s="2" t="str">
        <f>"3.1.1.00.07- Indenizacoes trabalhistas"</f>
        <v>3.1.1.00.07- Indenizacoes trabalhistas</v>
      </c>
      <c r="B213" s="10">
        <v>16500.36</v>
      </c>
      <c r="C213" s="10">
        <v>0</v>
      </c>
      <c r="D213" s="10">
        <v>16500.36</v>
      </c>
    </row>
    <row r="214" spans="1:4" x14ac:dyDescent="0.25">
      <c r="A214" s="2" t="str">
        <f>"3.1.1.00.08- Bolsas de estagiario"</f>
        <v>3.1.1.00.08- Bolsas de estagiario</v>
      </c>
      <c r="B214" s="10">
        <v>139344.21</v>
      </c>
      <c r="C214" s="10">
        <v>20992.46</v>
      </c>
      <c r="D214" s="10">
        <v>160336.67000000001</v>
      </c>
    </row>
    <row r="215" spans="1:4" x14ac:dyDescent="0.25">
      <c r="A215" s="2" t="str">
        <f>"3.1.1.00.10- Indenizações trabalhistas - ACT"</f>
        <v>3.1.1.00.10- Indenizações trabalhistas - ACT</v>
      </c>
      <c r="B215" s="10">
        <v>3933079.8</v>
      </c>
      <c r="C215" s="10">
        <v>0</v>
      </c>
      <c r="D215" s="10">
        <v>3933079.8</v>
      </c>
    </row>
    <row r="216" spans="1:4" x14ac:dyDescent="0.25">
      <c r="A216" s="2" t="str">
        <f>"3.1.2.01.00- ENCARGOS SOCIAIS"</f>
        <v>3.1.2.01.00- ENCARGOS SOCIAIS</v>
      </c>
      <c r="B216" s="10">
        <v>22636059.77</v>
      </c>
      <c r="C216" s="10">
        <v>2514203.79</v>
      </c>
      <c r="D216" s="10">
        <v>25150263.559999999</v>
      </c>
    </row>
    <row r="217" spans="1:4" x14ac:dyDescent="0.25">
      <c r="A217" s="2" t="str">
        <f>"3.1.2.01.01- INSS"</f>
        <v>3.1.2.01.01- INSS</v>
      </c>
      <c r="B217" s="10">
        <v>17619793.420000002</v>
      </c>
      <c r="C217" s="10">
        <v>1946867.71</v>
      </c>
      <c r="D217" s="10">
        <v>19566661.129999999</v>
      </c>
    </row>
    <row r="218" spans="1:4" x14ac:dyDescent="0.25">
      <c r="A218" s="2" t="str">
        <f>"3.1.2.01.02- FGTS"</f>
        <v>3.1.2.01.02- FGTS</v>
      </c>
      <c r="B218" s="10">
        <v>5016266.3499999996</v>
      </c>
      <c r="C218" s="10">
        <v>567336.07999999996</v>
      </c>
      <c r="D218" s="10">
        <v>5583602.4299999997</v>
      </c>
    </row>
    <row r="219" spans="1:4" x14ac:dyDescent="0.25">
      <c r="A219" s="2" t="str">
        <f>"3.1.2.02.00- OUTRAS DESPESAS COM PESSOAL"</f>
        <v>3.1.2.02.00- OUTRAS DESPESAS COM PESSOAL</v>
      </c>
      <c r="B219" s="10">
        <v>11262927.359999999</v>
      </c>
      <c r="C219" s="10">
        <v>1196303.1200000001</v>
      </c>
      <c r="D219" s="10">
        <v>12459230.48</v>
      </c>
    </row>
    <row r="220" spans="1:4" x14ac:dyDescent="0.25">
      <c r="A220" s="2" t="str">
        <f>"3.1.2.02.01- Seguros de Vida"</f>
        <v>3.1.2.02.01- Seguros de Vida</v>
      </c>
      <c r="B220" s="10">
        <v>57220.14</v>
      </c>
      <c r="C220" s="10">
        <v>7082.1</v>
      </c>
      <c r="D220" s="10">
        <v>64302.239999999998</v>
      </c>
    </row>
    <row r="221" spans="1:4" x14ac:dyDescent="0.25">
      <c r="A221" s="2" t="str">
        <f>"3.1.2.02.02- Ass. Medica Odontologica"</f>
        <v>3.1.2.02.02- Ass. Medica Odontologica</v>
      </c>
      <c r="B221" s="10">
        <v>3197310.61</v>
      </c>
      <c r="C221" s="10">
        <v>334755.44</v>
      </c>
      <c r="D221" s="10">
        <v>3532066.05</v>
      </c>
    </row>
    <row r="222" spans="1:4" x14ac:dyDescent="0.25">
      <c r="A222" s="2" t="str">
        <f>"3.1.2.02.03- Vale Transporte"</f>
        <v>3.1.2.02.03- Vale Transporte</v>
      </c>
      <c r="B222" s="10">
        <v>784444.61</v>
      </c>
      <c r="C222" s="10">
        <v>97404.4</v>
      </c>
      <c r="D222" s="10">
        <v>881849.01</v>
      </c>
    </row>
    <row r="223" spans="1:4" x14ac:dyDescent="0.25">
      <c r="A223" s="2" t="str">
        <f>"3.1.2.02.04- Vale Refeicao/Alimentacao"</f>
        <v>3.1.2.02.04- Vale Refeicao/Alimentacao</v>
      </c>
      <c r="B223" s="10">
        <v>6924253.1100000003</v>
      </c>
      <c r="C223" s="10">
        <v>734564.13</v>
      </c>
      <c r="D223" s="10">
        <v>7658817.2400000002</v>
      </c>
    </row>
    <row r="224" spans="1:4" x14ac:dyDescent="0.25">
      <c r="A224" s="2" t="str">
        <f>"3.1.2.02.05- Compl. Auxilio Doenca"</f>
        <v>3.1.2.02.05- Compl. Auxilio Doenca</v>
      </c>
      <c r="B224" s="10">
        <v>60347.47</v>
      </c>
      <c r="C224" s="10">
        <v>1857.96</v>
      </c>
      <c r="D224" s="10">
        <v>62205.43</v>
      </c>
    </row>
    <row r="225" spans="1:4" x14ac:dyDescent="0.25">
      <c r="A225" s="2" t="str">
        <f>"3.1.2.02.06- Cursos e Treinamentos"</f>
        <v>3.1.2.02.06- Cursos e Treinamentos</v>
      </c>
      <c r="B225" s="10">
        <v>48809.3</v>
      </c>
      <c r="C225" s="10">
        <v>145</v>
      </c>
      <c r="D225" s="10">
        <v>48954.3</v>
      </c>
    </row>
    <row r="226" spans="1:4" x14ac:dyDescent="0.25">
      <c r="A226" s="2" t="str">
        <f>"3.1.2.02.07- Auxilio Creche"</f>
        <v>3.1.2.02.07- Auxilio Creche</v>
      </c>
      <c r="B226" s="10">
        <v>190542.12</v>
      </c>
      <c r="C226" s="10">
        <v>20494.09</v>
      </c>
      <c r="D226" s="10">
        <v>211036.21</v>
      </c>
    </row>
    <row r="227" spans="1:4" x14ac:dyDescent="0.25">
      <c r="A227" s="2" t="str">
        <f>"3.1.3.00.00- MATERIAIS"</f>
        <v>3.1.3.00.00- MATERIAIS</v>
      </c>
      <c r="B227" s="10">
        <v>774292.21</v>
      </c>
      <c r="C227" s="10">
        <v>85740.59</v>
      </c>
      <c r="D227" s="10">
        <v>860032.8</v>
      </c>
    </row>
    <row r="228" spans="1:4" x14ac:dyDescent="0.25">
      <c r="A228" s="2" t="str">
        <f>"3.1.3.00.01- Bens de natureza permanente"</f>
        <v>3.1.3.00.01- Bens de natureza permanente</v>
      </c>
      <c r="B228" s="10">
        <v>9655.48</v>
      </c>
      <c r="C228" s="10">
        <v>1908</v>
      </c>
      <c r="D228" s="10">
        <v>11563.48</v>
      </c>
    </row>
    <row r="229" spans="1:4" x14ac:dyDescent="0.25">
      <c r="A229" s="2" t="str">
        <f>"3.1.3.00.02- Lampadas e transformadores"</f>
        <v>3.1.3.00.02- Lampadas e transformadores</v>
      </c>
      <c r="B229" s="10">
        <v>27303.7</v>
      </c>
      <c r="C229" s="10">
        <v>0</v>
      </c>
      <c r="D229" s="10">
        <v>27303.7</v>
      </c>
    </row>
    <row r="230" spans="1:4" x14ac:dyDescent="0.25">
      <c r="A230" s="2" t="str">
        <f>"3.1.3.00.05- Placas/acessorios/mat.fixacao"</f>
        <v>3.1.3.00.05- Placas/acessorios/mat.fixacao</v>
      </c>
      <c r="B230" s="10">
        <v>605</v>
      </c>
      <c r="C230" s="10">
        <v>0</v>
      </c>
      <c r="D230" s="10">
        <v>605</v>
      </c>
    </row>
    <row r="231" spans="1:4" x14ac:dyDescent="0.25">
      <c r="A231" s="2" t="str">
        <f>"3.1.3.00.08- Material seguranca e uniformes"</f>
        <v>3.1.3.00.08- Material seguranca e uniformes</v>
      </c>
      <c r="B231" s="10">
        <v>5467.38</v>
      </c>
      <c r="C231" s="10">
        <v>1093.32</v>
      </c>
      <c r="D231" s="10">
        <v>6560.7</v>
      </c>
    </row>
    <row r="232" spans="1:4" x14ac:dyDescent="0.25">
      <c r="A232" s="2" t="str">
        <f>"3.1.3.00.09- Material limp/conserv/copa/cozin"</f>
        <v>3.1.3.00.09- Material limp/conserv/copa/cozin</v>
      </c>
      <c r="B232" s="10">
        <v>121853.59</v>
      </c>
      <c r="C232" s="10">
        <v>18106.169999999998</v>
      </c>
      <c r="D232" s="10">
        <v>139959.76</v>
      </c>
    </row>
    <row r="233" spans="1:4" x14ac:dyDescent="0.25">
      <c r="A233" s="2" t="str">
        <f>"3.1.3.00.10- Impressos e material de escritorio"</f>
        <v>3.1.3.00.10- Impressos e material de escritorio</v>
      </c>
      <c r="B233" s="10">
        <v>126045.58</v>
      </c>
      <c r="C233" s="10">
        <v>10346.450000000001</v>
      </c>
      <c r="D233" s="10">
        <v>136392.03</v>
      </c>
    </row>
    <row r="234" spans="1:4" x14ac:dyDescent="0.25">
      <c r="A234" s="2" t="str">
        <f>"3.1.3.00.11- Materiais manut. inst. prediais"</f>
        <v>3.1.3.00.11- Materiais manut. inst. prediais</v>
      </c>
      <c r="B234" s="10">
        <v>211618.82</v>
      </c>
      <c r="C234" s="10">
        <v>22871.69</v>
      </c>
      <c r="D234" s="10">
        <v>234490.51</v>
      </c>
    </row>
    <row r="235" spans="1:4" x14ac:dyDescent="0.25">
      <c r="A235" s="2" t="str">
        <f>"3.1.3.00.12- Carnes estacionamento rotativo"</f>
        <v>3.1.3.00.12- Carnes estacionamento rotativo</v>
      </c>
      <c r="B235" s="10">
        <v>224623.97</v>
      </c>
      <c r="C235" s="10">
        <v>15627.24</v>
      </c>
      <c r="D235" s="10">
        <v>240251.21</v>
      </c>
    </row>
    <row r="236" spans="1:4" x14ac:dyDescent="0.25">
      <c r="A236" s="2" t="str">
        <f>"3.1.3.00.15- Materiais e supriment informatic"</f>
        <v>3.1.3.00.15- Materiais e supriment informatic</v>
      </c>
      <c r="B236" s="10">
        <v>28451.24</v>
      </c>
      <c r="C236" s="10">
        <v>1313.1</v>
      </c>
      <c r="D236" s="10">
        <v>29764.34</v>
      </c>
    </row>
    <row r="237" spans="1:4" x14ac:dyDescent="0.25">
      <c r="A237" s="2" t="str">
        <f>"3.1.3.00.17- Comb./lubrificantes"</f>
        <v>3.1.3.00.17- Comb./lubrificantes</v>
      </c>
      <c r="B237" s="10">
        <v>2207.25</v>
      </c>
      <c r="C237" s="10">
        <v>0</v>
      </c>
      <c r="D237" s="10">
        <v>2207.25</v>
      </c>
    </row>
    <row r="238" spans="1:4" x14ac:dyDescent="0.25">
      <c r="A238" s="2" t="str">
        <f>"3.1.3.00.18- Livros/jornais/rev./publicacoes"</f>
        <v>3.1.3.00.18- Livros/jornais/rev./publicacoes</v>
      </c>
      <c r="B238" s="10">
        <v>1447.2</v>
      </c>
      <c r="C238" s="10">
        <v>0</v>
      </c>
      <c r="D238" s="10">
        <v>1447.2</v>
      </c>
    </row>
    <row r="239" spans="1:4" x14ac:dyDescent="0.25">
      <c r="A239" s="2" t="str">
        <f>"3.1.3.00.99- Outros materiais"</f>
        <v>3.1.3.00.99- Outros materiais</v>
      </c>
      <c r="B239" s="10">
        <v>15013</v>
      </c>
      <c r="C239" s="10">
        <v>14474.62</v>
      </c>
      <c r="D239" s="10">
        <v>29487.62</v>
      </c>
    </row>
    <row r="240" spans="1:4" x14ac:dyDescent="0.25">
      <c r="A240" s="2" t="str">
        <f>"3.1.4.00.00- SERVICOS PRESTADOS POR TERCEIROS"</f>
        <v>3.1.4.00.00- SERVICOS PRESTADOS POR TERCEIROS</v>
      </c>
      <c r="B240" s="10">
        <v>17352942.140000001</v>
      </c>
      <c r="C240" s="10">
        <v>1979589.46</v>
      </c>
      <c r="D240" s="10">
        <v>19332531.600000001</v>
      </c>
    </row>
    <row r="241" spans="1:4" x14ac:dyDescent="0.25">
      <c r="A241" s="2" t="str">
        <f>"3.1.4.00.01- Consultoria"</f>
        <v>3.1.4.00.01- Consultoria</v>
      </c>
      <c r="B241" s="10">
        <v>0</v>
      </c>
      <c r="C241" s="10">
        <v>7500</v>
      </c>
      <c r="D241" s="10">
        <v>7500</v>
      </c>
    </row>
    <row r="242" spans="1:4" x14ac:dyDescent="0.25">
      <c r="A242" s="2" t="str">
        <f>"3.1.4.00.03- Locacao de equipamentos"</f>
        <v>3.1.4.00.03- Locacao de equipamentos</v>
      </c>
      <c r="B242" s="10">
        <v>50601.599999999999</v>
      </c>
      <c r="C242" s="10">
        <v>12650.4</v>
      </c>
      <c r="D242" s="10">
        <v>63252</v>
      </c>
    </row>
    <row r="243" spans="1:4" x14ac:dyDescent="0.25">
      <c r="A243" s="2" t="str">
        <f>"3.1.4.00.08- Servicos de auditoria"</f>
        <v>3.1.4.00.08- Servicos de auditoria</v>
      </c>
      <c r="B243" s="10">
        <v>31991.63</v>
      </c>
      <c r="C243" s="10">
        <v>21788.33</v>
      </c>
      <c r="D243" s="10">
        <v>53779.96</v>
      </c>
    </row>
    <row r="244" spans="1:4" x14ac:dyDescent="0.25">
      <c r="A244" s="2" t="str">
        <f>"3.1.4.00.10- Mao de obra contratada"</f>
        <v>3.1.4.00.10- Mao de obra contratada</v>
      </c>
      <c r="B244" s="10">
        <v>598125.53</v>
      </c>
      <c r="C244" s="10">
        <v>34079.68</v>
      </c>
      <c r="D244" s="10">
        <v>632205.21</v>
      </c>
    </row>
    <row r="245" spans="1:4" x14ac:dyDescent="0.25">
      <c r="A245" s="2" t="str">
        <f>"3.1.4.00.12- Reprod. Xerografica/Heliografica"</f>
        <v>3.1.4.00.12- Reprod. Xerografica/Heliografica</v>
      </c>
      <c r="B245" s="10">
        <v>-3287.96</v>
      </c>
      <c r="C245" s="10">
        <v>3285.21</v>
      </c>
      <c r="D245" s="10">
        <v>-2.75</v>
      </c>
    </row>
    <row r="246" spans="1:4" x14ac:dyDescent="0.25">
      <c r="A246" s="2" t="str">
        <f>"3.1.4.00.13- Publicidade e divulgacao"</f>
        <v>3.1.4.00.13- Publicidade e divulgacao</v>
      </c>
      <c r="B246" s="10">
        <v>108300.53</v>
      </c>
      <c r="C246" s="10">
        <v>10973.42</v>
      </c>
      <c r="D246" s="10">
        <v>119273.95</v>
      </c>
    </row>
    <row r="247" spans="1:4" x14ac:dyDescent="0.25">
      <c r="A247" s="2" t="str">
        <f>"3.1.4.00.14- Informatica-serv. e/ou locacao"</f>
        <v>3.1.4.00.14- Informatica-serv. e/ou locacao</v>
      </c>
      <c r="B247" s="10">
        <v>1206154.92</v>
      </c>
      <c r="C247" s="10">
        <v>114287.67</v>
      </c>
      <c r="D247" s="10">
        <v>1320442.5900000001</v>
      </c>
    </row>
    <row r="248" spans="1:4" x14ac:dyDescent="0.25">
      <c r="A248" s="2" t="str">
        <f>"3.1.4.00.15- Outros serv. prestados - PF"</f>
        <v>3.1.4.00.15- Outros serv. prestados - PF</v>
      </c>
      <c r="B248" s="10">
        <v>78146.14</v>
      </c>
      <c r="C248" s="10">
        <v>8598.7999999999993</v>
      </c>
      <c r="D248" s="10">
        <v>86744.94</v>
      </c>
    </row>
    <row r="249" spans="1:4" x14ac:dyDescent="0.25">
      <c r="A249" s="2" t="str">
        <f>"3.1.4.00.16- Outros serv. Prestados - PJ"</f>
        <v>3.1.4.00.16- Outros serv. Prestados - PJ</v>
      </c>
      <c r="B249" s="10">
        <v>245187.9</v>
      </c>
      <c r="C249" s="10">
        <v>21415.45</v>
      </c>
      <c r="D249" s="10">
        <v>266603.34999999998</v>
      </c>
    </row>
    <row r="250" spans="1:4" x14ac:dyDescent="0.25">
      <c r="A250" s="2" t="str">
        <f>"3.1.4.00.17- Servicos postais"</f>
        <v>3.1.4.00.17- Servicos postais</v>
      </c>
      <c r="B250" s="10">
        <v>44470.39</v>
      </c>
      <c r="C250" s="10">
        <v>5452.2</v>
      </c>
      <c r="D250" s="10">
        <v>49922.59</v>
      </c>
    </row>
    <row r="251" spans="1:4" x14ac:dyDescent="0.25">
      <c r="A251" s="2" t="str">
        <f>"3.1.4.00.18- INSS s/servicos de terceiros"</f>
        <v>3.1.4.00.18- INSS s/servicos de terceiros</v>
      </c>
      <c r="B251" s="10">
        <v>20600.650000000001</v>
      </c>
      <c r="C251" s="10">
        <v>3243.28</v>
      </c>
      <c r="D251" s="10">
        <v>23843.93</v>
      </c>
    </row>
    <row r="252" spans="1:4" x14ac:dyDescent="0.25">
      <c r="A252" s="2" t="str">
        <f>"3.1.4.00.19- Manut. imoveis/instal/equip.oper"</f>
        <v>3.1.4.00.19- Manut. imoveis/instal/equip.oper</v>
      </c>
      <c r="B252" s="10">
        <v>356758.25</v>
      </c>
      <c r="C252" s="10">
        <v>75917.210000000006</v>
      </c>
      <c r="D252" s="10">
        <v>432675.46</v>
      </c>
    </row>
    <row r="253" spans="1:4" x14ac:dyDescent="0.25">
      <c r="A253" s="2" t="str">
        <f>"3.1.4.00.21- Manut. moveis e equip. Escritorio"</f>
        <v>3.1.4.00.21- Manut. moveis e equip. Escritorio</v>
      </c>
      <c r="B253" s="10">
        <v>490</v>
      </c>
      <c r="C253" s="10">
        <v>0</v>
      </c>
      <c r="D253" s="10">
        <v>490</v>
      </c>
    </row>
    <row r="254" spans="1:4" x14ac:dyDescent="0.25">
      <c r="A254" s="2" t="str">
        <f>"3.1.4.00.22- Consultoria tec.Operacional"</f>
        <v>3.1.4.00.22- Consultoria tec.Operacional</v>
      </c>
      <c r="B254" s="10">
        <v>2800</v>
      </c>
      <c r="C254" s="10">
        <v>0</v>
      </c>
      <c r="D254" s="10">
        <v>2800</v>
      </c>
    </row>
    <row r="255" spans="1:4" x14ac:dyDescent="0.25">
      <c r="A255" s="2" t="str">
        <f>"3.1.4.00.24- Loc.serv.mensageiro"</f>
        <v>3.1.4.00.24- Loc.serv.mensageiro</v>
      </c>
      <c r="B255" s="10">
        <v>30930.639999999999</v>
      </c>
      <c r="C255" s="10">
        <v>3006.7</v>
      </c>
      <c r="D255" s="10">
        <v>33937.339999999997</v>
      </c>
    </row>
    <row r="256" spans="1:4" x14ac:dyDescent="0.25">
      <c r="A256" s="2" t="str">
        <f>"3.1.4.00.26- Serv.limp.conserv."</f>
        <v>3.1.4.00.26- Serv.limp.conserv.</v>
      </c>
      <c r="B256" s="10">
        <v>13741177.970000001</v>
      </c>
      <c r="C256" s="10">
        <v>1433251.33</v>
      </c>
      <c r="D256" s="10">
        <v>15174429.300000001</v>
      </c>
    </row>
    <row r="257" spans="1:4" x14ac:dyDescent="0.25">
      <c r="A257" s="2" t="str">
        <f>"3.1.4.00.29- Servicos pesquisa"</f>
        <v>3.1.4.00.29- Servicos pesquisa</v>
      </c>
      <c r="B257" s="10">
        <v>10945.41</v>
      </c>
      <c r="C257" s="10">
        <v>15743.12</v>
      </c>
      <c r="D257" s="10">
        <v>26688.53</v>
      </c>
    </row>
    <row r="258" spans="1:4" x14ac:dyDescent="0.25">
      <c r="A258" s="2" t="str">
        <f>"3.1.4.00.32- Vale transporte"</f>
        <v>3.1.4.00.32- Vale transporte</v>
      </c>
      <c r="B258" s="10">
        <v>0</v>
      </c>
      <c r="C258" s="10">
        <v>5732.05</v>
      </c>
      <c r="D258" s="10">
        <v>5732.05</v>
      </c>
    </row>
    <row r="259" spans="1:4" x14ac:dyDescent="0.25">
      <c r="A259" s="2" t="str">
        <f>"3.1.4.00.34- Comissao s/venda rotativo"</f>
        <v>3.1.4.00.34- Comissao s/venda rotativo</v>
      </c>
      <c r="B259" s="10">
        <v>481717.6</v>
      </c>
      <c r="C259" s="10">
        <v>39122.54</v>
      </c>
      <c r="D259" s="10">
        <v>520840.14</v>
      </c>
    </row>
    <row r="260" spans="1:4" x14ac:dyDescent="0.25">
      <c r="A260" s="2" t="str">
        <f>"3.1.4.00.36- (-) Desconto ISSQN conf Lei 9145 serv. P"</f>
        <v>3.1.4.00.36- (-) Desconto ISSQN conf Lei 9145 serv. P</v>
      </c>
      <c r="B260" s="10">
        <v>-557949.07999999996</v>
      </c>
      <c r="C260" s="10">
        <v>-88585.4</v>
      </c>
      <c r="D260" s="10">
        <v>-646534.48</v>
      </c>
    </row>
    <row r="261" spans="1:4" x14ac:dyDescent="0.25">
      <c r="A261" s="2" t="str">
        <f>"3.1.4.00.39- Convênio Guarda Municipal"</f>
        <v>3.1.4.00.39- Convênio Guarda Municipal</v>
      </c>
      <c r="B261" s="10">
        <v>905780.02</v>
      </c>
      <c r="C261" s="10">
        <v>238206.05</v>
      </c>
      <c r="D261" s="10">
        <v>1143986.07</v>
      </c>
    </row>
    <row r="262" spans="1:4" x14ac:dyDescent="0.25">
      <c r="A262" s="2" t="str">
        <f>"3.1.4.00.40- Servicos Medicos Pameh PF"</f>
        <v>3.1.4.00.40- Servicos Medicos Pameh PF</v>
      </c>
      <c r="B262" s="10">
        <v>0</v>
      </c>
      <c r="C262" s="10">
        <v>13921.42</v>
      </c>
      <c r="D262" s="10">
        <v>13921.42</v>
      </c>
    </row>
    <row r="263" spans="1:4" x14ac:dyDescent="0.25">
      <c r="A263" s="2" t="str">
        <f>"3.1.5.00.00- TARIFAS PUBLICAS"</f>
        <v>3.1.5.00.00- TARIFAS PUBLICAS</v>
      </c>
      <c r="B263" s="10">
        <v>916812.92</v>
      </c>
      <c r="C263" s="10">
        <v>99539.27</v>
      </c>
      <c r="D263" s="10">
        <v>1016352.19</v>
      </c>
    </row>
    <row r="264" spans="1:4" x14ac:dyDescent="0.25">
      <c r="A264" s="2" t="str">
        <f>"3.1.5.00.02- Energia eletrica"</f>
        <v>3.1.5.00.02- Energia eletrica</v>
      </c>
      <c r="B264" s="10">
        <v>661939.4</v>
      </c>
      <c r="C264" s="10">
        <v>72891.179999999993</v>
      </c>
      <c r="D264" s="10">
        <v>734830.58</v>
      </c>
    </row>
    <row r="265" spans="1:4" x14ac:dyDescent="0.25">
      <c r="A265" s="2" t="str">
        <f>"3.1.5.00.03- Telefone"</f>
        <v>3.1.5.00.03- Telefone</v>
      </c>
      <c r="B265" s="10">
        <v>254873.52</v>
      </c>
      <c r="C265" s="10">
        <v>26648.09</v>
      </c>
      <c r="D265" s="10">
        <v>281521.61</v>
      </c>
    </row>
    <row r="266" spans="1:4" x14ac:dyDescent="0.25">
      <c r="A266" s="2" t="str">
        <f>"3.1.6.00.00- DESPESAS TRIBUTARIAS"</f>
        <v>3.1.6.00.00- DESPESAS TRIBUTARIAS</v>
      </c>
      <c r="B266" s="10">
        <v>2196620.81</v>
      </c>
      <c r="C266" s="10">
        <v>296877.03999999998</v>
      </c>
      <c r="D266" s="10">
        <v>2493497.85</v>
      </c>
    </row>
    <row r="267" spans="1:4" x14ac:dyDescent="0.25">
      <c r="A267" s="2" t="str">
        <f>"3.1.6.00.01- Taxas legais"</f>
        <v>3.1.6.00.01- Taxas legais</v>
      </c>
      <c r="B267" s="10">
        <v>22774.66</v>
      </c>
      <c r="C267" s="10">
        <v>655.62</v>
      </c>
      <c r="D267" s="10">
        <v>23430.28</v>
      </c>
    </row>
    <row r="268" spans="1:4" x14ac:dyDescent="0.25">
      <c r="A268" s="2" t="str">
        <f>"3.1.6.00.03- IOF"</f>
        <v>3.1.6.00.03- IOF</v>
      </c>
      <c r="B268" s="10">
        <v>1178</v>
      </c>
      <c r="C268" s="10">
        <v>0</v>
      </c>
      <c r="D268" s="10">
        <v>1178</v>
      </c>
    </row>
    <row r="269" spans="1:4" x14ac:dyDescent="0.25">
      <c r="A269" s="2" t="str">
        <f>"3.1.6.00.06- PIS"</f>
        <v>3.1.6.00.06- PIS</v>
      </c>
      <c r="B269" s="10">
        <v>374480.71</v>
      </c>
      <c r="C269" s="10">
        <v>51361.31</v>
      </c>
      <c r="D269" s="10">
        <v>425842.02</v>
      </c>
    </row>
    <row r="270" spans="1:4" x14ac:dyDescent="0.25">
      <c r="A270" s="2" t="str">
        <f>"3.1.6.00.07- COFINS"</f>
        <v>3.1.6.00.07- COFINS</v>
      </c>
      <c r="B270" s="10">
        <v>1724880.84</v>
      </c>
      <c r="C270" s="10">
        <v>236573.32</v>
      </c>
      <c r="D270" s="10">
        <v>1961454.16</v>
      </c>
    </row>
    <row r="271" spans="1:4" x14ac:dyDescent="0.25">
      <c r="A271" s="2" t="str">
        <f>"3.1.6.00.08- Multas indedutiveis"</f>
        <v>3.1.6.00.08- Multas indedutiveis</v>
      </c>
      <c r="B271" s="10">
        <v>0.84</v>
      </c>
      <c r="C271" s="10">
        <v>0</v>
      </c>
      <c r="D271" s="10">
        <v>0.84</v>
      </c>
    </row>
    <row r="272" spans="1:4" x14ac:dyDescent="0.25">
      <c r="A272" s="2" t="str">
        <f>"3.1.6.00.10- ISS s/faturamento"</f>
        <v>3.1.6.00.10- ISS s/faturamento</v>
      </c>
      <c r="B272" s="10">
        <v>17164.009999999998</v>
      </c>
      <c r="C272" s="10">
        <v>4919.83</v>
      </c>
      <c r="D272" s="10">
        <v>22083.84</v>
      </c>
    </row>
    <row r="273" spans="1:4" x14ac:dyDescent="0.25">
      <c r="A273" s="2" t="str">
        <f>"3.1.6.00.14- Contrib.entid.classe"</f>
        <v>3.1.6.00.14- Contrib.entid.classe</v>
      </c>
      <c r="B273" s="10">
        <v>22800.86</v>
      </c>
      <c r="C273" s="10">
        <v>0</v>
      </c>
      <c r="D273" s="10">
        <v>22800.86</v>
      </c>
    </row>
    <row r="274" spans="1:4" x14ac:dyDescent="0.25">
      <c r="A274" s="2" t="str">
        <f>"3.1.6.00.15- INSS Serv.terceiros"</f>
        <v>3.1.6.00.15- INSS Serv.terceiros</v>
      </c>
      <c r="B274" s="10">
        <v>17030.330000000002</v>
      </c>
      <c r="C274" s="10">
        <v>0</v>
      </c>
      <c r="D274" s="10">
        <v>17030.330000000002</v>
      </c>
    </row>
    <row r="275" spans="1:4" x14ac:dyDescent="0.25">
      <c r="A275" s="2" t="str">
        <f>"3.1.6.00.17- PIS s/ receitas financeiras"</f>
        <v>3.1.6.00.17- PIS s/ receitas financeiras</v>
      </c>
      <c r="B275" s="10">
        <v>2279.9699999999998</v>
      </c>
      <c r="C275" s="10">
        <v>470.65</v>
      </c>
      <c r="D275" s="10">
        <v>2750.62</v>
      </c>
    </row>
    <row r="276" spans="1:4" x14ac:dyDescent="0.25">
      <c r="A276" s="2" t="str">
        <f>"3.1.6.00.18- Cofins s/ receitas financeiras"</f>
        <v>3.1.6.00.18- Cofins s/ receitas financeiras</v>
      </c>
      <c r="B276" s="10">
        <v>14030.59</v>
      </c>
      <c r="C276" s="10">
        <v>2896.31</v>
      </c>
      <c r="D276" s="10">
        <v>16926.900000000001</v>
      </c>
    </row>
    <row r="277" spans="1:4" x14ac:dyDescent="0.25">
      <c r="A277" s="2" t="str">
        <f>"3.1.7.00.00- DESPESAS FINANCEIRAS"</f>
        <v>3.1.7.00.00- DESPESAS FINANCEIRAS</v>
      </c>
      <c r="B277" s="10">
        <v>504974.82</v>
      </c>
      <c r="C277" s="10">
        <v>1194.92</v>
      </c>
      <c r="D277" s="10">
        <v>506169.74</v>
      </c>
    </row>
    <row r="278" spans="1:4" x14ac:dyDescent="0.25">
      <c r="A278" s="2" t="str">
        <f>"3.1.7.01.01- Juros passivos curto prazo"</f>
        <v>3.1.7.01.01- Juros passivos curto prazo</v>
      </c>
      <c r="B278" s="10">
        <v>493199.03</v>
      </c>
      <c r="C278" s="10">
        <v>0</v>
      </c>
      <c r="D278" s="10">
        <v>493199.03</v>
      </c>
    </row>
    <row r="279" spans="1:4" x14ac:dyDescent="0.25">
      <c r="A279" s="2" t="str">
        <f>"3.1.7.01.02- Despesas bancarias"</f>
        <v>3.1.7.01.02- Despesas bancarias</v>
      </c>
      <c r="B279" s="10">
        <v>11775.79</v>
      </c>
      <c r="C279" s="10">
        <v>1194.92</v>
      </c>
      <c r="D279" s="10">
        <v>12970.71</v>
      </c>
    </row>
    <row r="280" spans="1:4" x14ac:dyDescent="0.25">
      <c r="A280" s="2" t="str">
        <f>"3.1.8.00.00- OUTRAS DESPESAS"</f>
        <v>3.1.8.00.00- OUTRAS DESPESAS</v>
      </c>
      <c r="B280" s="10">
        <v>3385355.59</v>
      </c>
      <c r="C280" s="10">
        <v>254439.77</v>
      </c>
      <c r="D280" s="10">
        <v>3639795.36</v>
      </c>
    </row>
    <row r="281" spans="1:4" x14ac:dyDescent="0.25">
      <c r="A281" s="2" t="str">
        <f>"3.1.8.00.01- Despesas de viagem"</f>
        <v>3.1.8.00.01- Despesas de viagem</v>
      </c>
      <c r="B281" s="10">
        <v>66875.259999999995</v>
      </c>
      <c r="C281" s="10">
        <v>1538.06</v>
      </c>
      <c r="D281" s="10">
        <v>68413.320000000007</v>
      </c>
    </row>
    <row r="282" spans="1:4" x14ac:dyDescent="0.25">
      <c r="A282" s="2" t="str">
        <f>"3.1.8.00.05- Depreciacao/amort"</f>
        <v>3.1.8.00.05- Depreciacao/amort</v>
      </c>
      <c r="B282" s="10">
        <v>190573.6</v>
      </c>
      <c r="C282" s="10">
        <v>20682.3</v>
      </c>
      <c r="D282" s="10">
        <v>211255.9</v>
      </c>
    </row>
    <row r="283" spans="1:4" x14ac:dyDescent="0.25">
      <c r="A283" s="2" t="str">
        <f>"3.1.8.00.06- Seguros bens moveis e imoveis"</f>
        <v>3.1.8.00.06- Seguros bens moveis e imoveis</v>
      </c>
      <c r="B283" s="10">
        <v>8553.8700000000008</v>
      </c>
      <c r="C283" s="10">
        <v>1511.2</v>
      </c>
      <c r="D283" s="10">
        <v>10065.07</v>
      </c>
    </row>
    <row r="284" spans="1:4" x14ac:dyDescent="0.25">
      <c r="A284" s="2" t="str">
        <f>"3.1.8.00.08- Alugueis e condominio"</f>
        <v>3.1.8.00.08- Alugueis e condominio</v>
      </c>
      <c r="B284" s="10">
        <v>46163.25</v>
      </c>
      <c r="C284" s="10">
        <v>5071.8100000000004</v>
      </c>
      <c r="D284" s="10">
        <v>51235.06</v>
      </c>
    </row>
    <row r="285" spans="1:4" x14ac:dyDescent="0.25">
      <c r="A285" s="2" t="str">
        <f>"3.1.8.00.09- Multas dedutiveis"</f>
        <v>3.1.8.00.09- Multas dedutiveis</v>
      </c>
      <c r="B285" s="10">
        <v>55.93</v>
      </c>
      <c r="C285" s="10">
        <v>0</v>
      </c>
      <c r="D285" s="10">
        <v>55.93</v>
      </c>
    </row>
    <row r="286" spans="1:4" x14ac:dyDescent="0.25">
      <c r="A286" s="2" t="str">
        <f>"3.1.8.00.12- Acoes judiciais terceiros"</f>
        <v>3.1.8.00.12- Acoes judiciais terceiros</v>
      </c>
      <c r="B286" s="10">
        <v>74999.039999999994</v>
      </c>
      <c r="C286" s="10">
        <v>19027</v>
      </c>
      <c r="D286" s="10">
        <v>94026.04</v>
      </c>
    </row>
    <row r="287" spans="1:4" x14ac:dyDescent="0.25">
      <c r="A287" s="2" t="str">
        <f>"3.1.8.00.16- Baixa de imobilizado"</f>
        <v>3.1.8.00.16- Baixa de imobilizado</v>
      </c>
      <c r="B287" s="10">
        <v>43459.94</v>
      </c>
      <c r="C287" s="10">
        <v>0</v>
      </c>
      <c r="D287" s="10">
        <v>43459.94</v>
      </c>
    </row>
    <row r="288" spans="1:4" x14ac:dyDescent="0.25">
      <c r="A288" s="2" t="str">
        <f>"3.1.8.00.17- Gastos com eventos e promocoes"</f>
        <v>3.1.8.00.17- Gastos com eventos e promocoes</v>
      </c>
      <c r="B288" s="10">
        <v>20493.759999999998</v>
      </c>
      <c r="C288" s="10">
        <v>3000</v>
      </c>
      <c r="D288" s="10">
        <v>23493.759999999998</v>
      </c>
    </row>
    <row r="289" spans="1:4" x14ac:dyDescent="0.25">
      <c r="A289" s="2" t="str">
        <f>"3.1.8.00.18- Provisao para perdas"</f>
        <v>3.1.8.00.18- Provisao para perdas</v>
      </c>
      <c r="B289" s="10">
        <v>579920.37</v>
      </c>
      <c r="C289" s="10">
        <v>69877.3</v>
      </c>
      <c r="D289" s="10">
        <v>649797.67000000004</v>
      </c>
    </row>
    <row r="290" spans="1:4" x14ac:dyDescent="0.25">
      <c r="A290" s="2" t="str">
        <f>"3.1.8.00.22- Perda tributos a recuperar"</f>
        <v>3.1.8.00.22- Perda tributos a recuperar</v>
      </c>
      <c r="B290" s="10">
        <v>1395955.29</v>
      </c>
      <c r="C290" s="10">
        <v>0</v>
      </c>
      <c r="D290" s="10">
        <v>1395955.29</v>
      </c>
    </row>
    <row r="291" spans="1:4" x14ac:dyDescent="0.25">
      <c r="A291" s="2" t="str">
        <f>"3.1.8.00.23- Custas/Despesas Judiciais"</f>
        <v>3.1.8.00.23- Custas/Despesas Judiciais</v>
      </c>
      <c r="B291" s="10">
        <v>109552.38</v>
      </c>
      <c r="C291" s="10">
        <v>12511.32</v>
      </c>
      <c r="D291" s="10">
        <v>122063.7</v>
      </c>
    </row>
    <row r="292" spans="1:4" x14ac:dyDescent="0.25">
      <c r="A292" s="2" t="str">
        <f>"3.1.8.00.30- Estacionamento Rotativo Digital"</f>
        <v>3.1.8.00.30- Estacionamento Rotativo Digital</v>
      </c>
      <c r="B292" s="10">
        <v>840772.1</v>
      </c>
      <c r="C292" s="10">
        <v>120110.3</v>
      </c>
      <c r="D292" s="10">
        <v>960882.4</v>
      </c>
    </row>
    <row r="293" spans="1:4" x14ac:dyDescent="0.25">
      <c r="A293" s="2" t="str">
        <f>"3.1.8.00.99- Despesas diversas"</f>
        <v>3.1.8.00.99- Despesas diversas</v>
      </c>
      <c r="B293" s="10">
        <v>7980.8</v>
      </c>
      <c r="C293" s="10">
        <v>1110.48</v>
      </c>
      <c r="D293" s="10">
        <v>9091.2800000000007</v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""</f>
        <v/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""</f>
        <v/>
      </c>
      <c r="B299" s="3" t="str">
        <f>""</f>
        <v/>
      </c>
      <c r="C299" s="3" t="str">
        <f>""</f>
        <v/>
      </c>
      <c r="D299" s="3" t="str">
        <f>""</f>
        <v/>
      </c>
    </row>
    <row r="300" spans="1:4" x14ac:dyDescent="0.25">
      <c r="A300" s="2" t="str">
        <f>""</f>
        <v/>
      </c>
      <c r="B300" s="3" t="str">
        <f>""</f>
        <v/>
      </c>
      <c r="C300" s="3" t="str">
        <f>""</f>
        <v/>
      </c>
      <c r="D300" s="3" t="str">
        <f>""</f>
        <v/>
      </c>
    </row>
    <row r="301" spans="1:4" x14ac:dyDescent="0.25">
      <c r="A301" s="2" t="str">
        <f>""</f>
        <v/>
      </c>
      <c r="B301" s="3" t="str">
        <f>""</f>
        <v/>
      </c>
      <c r="C301" s="3" t="str">
        <f>""</f>
        <v/>
      </c>
      <c r="D301" s="3" t="str">
        <f>""</f>
        <v/>
      </c>
    </row>
    <row r="302" spans="1:4" x14ac:dyDescent="0.25">
      <c r="A302" s="2" t="str">
        <f>""</f>
        <v/>
      </c>
      <c r="B302" s="3" t="str">
        <f>""</f>
        <v/>
      </c>
      <c r="C302" s="3" t="str">
        <f>""</f>
        <v/>
      </c>
      <c r="D302" s="3" t="str">
        <f>""</f>
        <v/>
      </c>
    </row>
    <row r="303" spans="1:4" x14ac:dyDescent="0.25">
      <c r="A303" s="2" t="str">
        <f>""</f>
        <v/>
      </c>
      <c r="B303" s="3" t="str">
        <f>""</f>
        <v/>
      </c>
      <c r="C303" s="3" t="str">
        <f>""</f>
        <v/>
      </c>
      <c r="D303" s="3" t="str">
        <f>""</f>
        <v/>
      </c>
    </row>
    <row r="304" spans="1:4" x14ac:dyDescent="0.25">
      <c r="A304" s="2" t="str">
        <f>"RECEITAS"</f>
        <v>RECEITAS</v>
      </c>
      <c r="B304" s="3" t="str">
        <f>""</f>
        <v/>
      </c>
      <c r="C304" s="3" t="str">
        <f>""</f>
        <v/>
      </c>
      <c r="D304" s="3" t="str">
        <f>""</f>
        <v/>
      </c>
    </row>
    <row r="305" spans="1:4" x14ac:dyDescent="0.25">
      <c r="A305" s="2" t="str">
        <f>"4.0.0.00.00- RECEITAS"</f>
        <v>4.0.0.00.00- RECEITAS</v>
      </c>
      <c r="B305" s="10">
        <v>117783615.11</v>
      </c>
      <c r="C305" s="10">
        <v>13262940.449999999</v>
      </c>
      <c r="D305" s="10">
        <v>131046555.56</v>
      </c>
    </row>
    <row r="306" spans="1:4" x14ac:dyDescent="0.25">
      <c r="A306" s="2" t="str">
        <f>"4.1.0.00.00- RECEITAS BHTRANS"</f>
        <v>4.1.0.00.00- RECEITAS BHTRANS</v>
      </c>
      <c r="B306" s="10">
        <v>116370248.93000001</v>
      </c>
      <c r="C306" s="10">
        <v>13088750</v>
      </c>
      <c r="D306" s="10">
        <v>129458998.93000001</v>
      </c>
    </row>
    <row r="307" spans="1:4" x14ac:dyDescent="0.25">
      <c r="A307" s="2" t="str">
        <f>"4.1.1.00.00- RECEITAS OPERACIONAIS"</f>
        <v>4.1.1.00.00- RECEITAS OPERACIONAIS</v>
      </c>
      <c r="B307" s="10">
        <v>115865998.75</v>
      </c>
      <c r="C307" s="10">
        <v>13027407.439999999</v>
      </c>
      <c r="D307" s="10">
        <v>128893406.19</v>
      </c>
    </row>
    <row r="308" spans="1:4" x14ac:dyDescent="0.25">
      <c r="A308" s="2" t="str">
        <f>"4.1.1.00.05- Midia taxi, escolar e suplementar"</f>
        <v>4.1.1.00.05- Midia taxi, escolar e suplementar</v>
      </c>
      <c r="B308" s="10">
        <v>33083.25</v>
      </c>
      <c r="C308" s="10">
        <v>3331.8</v>
      </c>
      <c r="D308" s="10">
        <v>36415.050000000003</v>
      </c>
    </row>
    <row r="309" spans="1:4" x14ac:dyDescent="0.25">
      <c r="A309" s="2" t="str">
        <f>"4.1.1.00.06- Midia em onibus"</f>
        <v>4.1.1.00.06- Midia em onibus</v>
      </c>
      <c r="B309" s="10">
        <v>460979.22</v>
      </c>
      <c r="C309" s="10">
        <v>152319.96</v>
      </c>
      <c r="D309" s="10">
        <v>613299.18000000005</v>
      </c>
    </row>
    <row r="310" spans="1:4" x14ac:dyDescent="0.25">
      <c r="A310" s="2" t="str">
        <f>"4.1.1.00.07- Midias diversas"</f>
        <v>4.1.1.00.07- Midias diversas</v>
      </c>
      <c r="B310" s="10">
        <v>78680.67</v>
      </c>
      <c r="C310" s="10">
        <v>8342.83</v>
      </c>
      <c r="D310" s="10">
        <v>87023.5</v>
      </c>
    </row>
    <row r="311" spans="1:4" x14ac:dyDescent="0.25">
      <c r="A311" s="2" t="str">
        <f>"4.1.1.00.08- Estacionamento Rotativo"</f>
        <v>4.1.1.00.08- Estacionamento Rotativo</v>
      </c>
      <c r="B311" s="10">
        <v>13401954.970000001</v>
      </c>
      <c r="C311" s="10">
        <v>1092455.26</v>
      </c>
      <c r="D311" s="10">
        <v>14494410.23</v>
      </c>
    </row>
    <row r="312" spans="1:4" x14ac:dyDescent="0.25">
      <c r="A312" s="2" t="str">
        <f>"4.1.1.00.10- Transf. financeira PBH"</f>
        <v>4.1.1.00.10- Transf. financeira PBH</v>
      </c>
      <c r="B312" s="10">
        <v>94737049.909999996</v>
      </c>
      <c r="C312" s="10">
        <v>10077725.789999999</v>
      </c>
      <c r="D312" s="10">
        <v>104814775.7</v>
      </c>
    </row>
    <row r="313" spans="1:4" x14ac:dyDescent="0.25">
      <c r="A313" s="2" t="str">
        <f>"4.1.1.00.16- Multas transporte coletivo"</f>
        <v>4.1.1.00.16- Multas transporte coletivo</v>
      </c>
      <c r="B313" s="10">
        <v>2899601.79</v>
      </c>
      <c r="C313" s="10">
        <v>349386.49</v>
      </c>
      <c r="D313" s="10">
        <v>3248988.28</v>
      </c>
    </row>
    <row r="314" spans="1:4" x14ac:dyDescent="0.25">
      <c r="A314" s="2" t="str">
        <f>"4.1.1.00.17- Multas transporte publico"</f>
        <v>4.1.1.00.17- Multas transporte publico</v>
      </c>
      <c r="B314" s="10">
        <v>675767.57</v>
      </c>
      <c r="C314" s="10">
        <v>77505.59</v>
      </c>
      <c r="D314" s="10">
        <v>753273.16</v>
      </c>
    </row>
    <row r="315" spans="1:4" x14ac:dyDescent="0.25">
      <c r="A315" s="2" t="str">
        <f>"4.1.1.00.19- Subconcessao frotas de taxi"</f>
        <v>4.1.1.00.19- Subconcessao frotas de taxi</v>
      </c>
      <c r="B315" s="10">
        <v>737735.29</v>
      </c>
      <c r="C315" s="10">
        <v>168164.75</v>
      </c>
      <c r="D315" s="10">
        <v>905900.04</v>
      </c>
    </row>
    <row r="316" spans="1:4" x14ac:dyDescent="0.25">
      <c r="A316" s="2" t="str">
        <f>"4.1.1.00.21- Estacionamento Rotativo Digital"</f>
        <v>4.1.1.00.21- Estacionamento Rotativo Digital</v>
      </c>
      <c r="B316" s="10">
        <v>2841146.08</v>
      </c>
      <c r="C316" s="10">
        <v>1098174.97</v>
      </c>
      <c r="D316" s="10">
        <v>3939321.05</v>
      </c>
    </row>
    <row r="317" spans="1:4" x14ac:dyDescent="0.25">
      <c r="A317" s="2" t="str">
        <f>"4.1.8.00.00- RECEITAS ALUGUEIS ESTACOES"</f>
        <v>4.1.8.00.00- RECEITAS ALUGUEIS ESTACOES</v>
      </c>
      <c r="B317" s="10">
        <v>504250.18</v>
      </c>
      <c r="C317" s="10">
        <v>61342.559999999998</v>
      </c>
      <c r="D317" s="10">
        <v>565592.74</v>
      </c>
    </row>
    <row r="318" spans="1:4" x14ac:dyDescent="0.25">
      <c r="A318" s="2" t="str">
        <f>"4.1.8.00.01- Alugueis Estacoes"</f>
        <v>4.1.8.00.01- Alugueis Estacoes</v>
      </c>
      <c r="B318" s="10">
        <v>504250.18</v>
      </c>
      <c r="C318" s="10">
        <v>61342.559999999998</v>
      </c>
      <c r="D318" s="10">
        <v>565592.74</v>
      </c>
    </row>
    <row r="319" spans="1:4" x14ac:dyDescent="0.25">
      <c r="A319" s="2" t="str">
        <f>"4.2.0.00.00- RECEITAS FINANCEIRAS"</f>
        <v>4.2.0.00.00- RECEITAS FINANCEIRAS</v>
      </c>
      <c r="B319" s="10">
        <v>350764.84</v>
      </c>
      <c r="C319" s="10">
        <v>72407.8</v>
      </c>
      <c r="D319" s="10">
        <v>423172.64</v>
      </c>
    </row>
    <row r="320" spans="1:4" x14ac:dyDescent="0.25">
      <c r="A320" s="2" t="str">
        <f>"4.2.1.00.00- RECEITAS FINANCEIRAS"</f>
        <v>4.2.1.00.00- RECEITAS FINANCEIRAS</v>
      </c>
      <c r="B320" s="10">
        <v>350261.63</v>
      </c>
      <c r="C320" s="10">
        <v>72350.23</v>
      </c>
      <c r="D320" s="10">
        <v>422611.86</v>
      </c>
    </row>
    <row r="321" spans="1:4" x14ac:dyDescent="0.25">
      <c r="A321" s="2" t="str">
        <f>"4.2.1.00.01- Rendimentos aplic. Financeira"</f>
        <v>4.2.1.00.01- Rendimentos aplic. Financeira</v>
      </c>
      <c r="B321" s="10">
        <v>343896</v>
      </c>
      <c r="C321" s="10">
        <v>71677.94</v>
      </c>
      <c r="D321" s="10">
        <v>415573.94</v>
      </c>
    </row>
    <row r="322" spans="1:4" x14ac:dyDescent="0.25">
      <c r="A322" s="2" t="str">
        <f>"4.2.1.00.02- Juros ativos"</f>
        <v>4.2.1.00.02- Juros ativos</v>
      </c>
      <c r="B322" s="10">
        <v>1770.13</v>
      </c>
      <c r="C322" s="10">
        <v>672.29</v>
      </c>
      <c r="D322" s="10">
        <v>2442.42</v>
      </c>
    </row>
    <row r="323" spans="1:4" x14ac:dyDescent="0.25">
      <c r="A323" s="2" t="str">
        <f>"4.2.1.00.05- Receitas Financeiras - Convênio"</f>
        <v>4.2.1.00.05- Receitas Financeiras - Convênio</v>
      </c>
      <c r="B323" s="10">
        <v>4595.49</v>
      </c>
      <c r="C323" s="10">
        <v>0</v>
      </c>
      <c r="D323" s="10">
        <v>4595.49</v>
      </c>
    </row>
    <row r="324" spans="1:4" x14ac:dyDescent="0.25">
      <c r="A324" s="2" t="str">
        <f>"4.2.1.00.06- Descontos financeiros obtidos"</f>
        <v>4.2.1.00.06- Descontos financeiros obtidos</v>
      </c>
      <c r="B324" s="10">
        <v>0.01</v>
      </c>
      <c r="C324" s="10">
        <v>0</v>
      </c>
      <c r="D324" s="10">
        <v>0.01</v>
      </c>
    </row>
    <row r="325" spans="1:4" x14ac:dyDescent="0.25">
      <c r="A325" s="2" t="str">
        <f>"4.2.2.00.00- VARIACOES MONETARIAS ATIVAS"</f>
        <v>4.2.2.00.00- VARIACOES MONETARIAS ATIVAS</v>
      </c>
      <c r="B325" s="10">
        <v>503.21</v>
      </c>
      <c r="C325" s="10">
        <v>57.57</v>
      </c>
      <c r="D325" s="10">
        <v>560.78</v>
      </c>
    </row>
    <row r="326" spans="1:4" x14ac:dyDescent="0.25">
      <c r="A326" s="2" t="str">
        <f>"4.2.2.00.01- Variações monetárias ativas"</f>
        <v>4.2.2.00.01- Variações monetárias ativas</v>
      </c>
      <c r="B326" s="10">
        <v>503.21</v>
      </c>
      <c r="C326" s="10">
        <v>57.57</v>
      </c>
      <c r="D326" s="10">
        <v>560.78</v>
      </c>
    </row>
    <row r="327" spans="1:4" x14ac:dyDescent="0.25">
      <c r="A327" s="2" t="str">
        <f>"4.3.0.00.00- OUTRAS RECEITAS"</f>
        <v>4.3.0.00.00- OUTRAS RECEITAS</v>
      </c>
      <c r="B327" s="10">
        <v>1062601.3400000001</v>
      </c>
      <c r="C327" s="10">
        <v>101782.65</v>
      </c>
      <c r="D327" s="10">
        <v>1164383.99</v>
      </c>
    </row>
    <row r="328" spans="1:4" x14ac:dyDescent="0.25">
      <c r="A328" s="2" t="str">
        <f>"4.3.1.00.00- OUTRAS RECEITAS"</f>
        <v>4.3.1.00.00- OUTRAS RECEITAS</v>
      </c>
      <c r="B328" s="10">
        <v>1062601.3400000001</v>
      </c>
      <c r="C328" s="10">
        <v>101782.65</v>
      </c>
      <c r="D328" s="10">
        <v>1164383.99</v>
      </c>
    </row>
    <row r="329" spans="1:4" x14ac:dyDescent="0.25">
      <c r="A329" s="2" t="str">
        <f>"4.3.1.00.02- Doacoes"</f>
        <v>4.3.1.00.02- Doacoes</v>
      </c>
      <c r="B329" s="10">
        <v>54589</v>
      </c>
      <c r="C329" s="10">
        <v>0</v>
      </c>
      <c r="D329" s="10">
        <v>54589</v>
      </c>
    </row>
    <row r="330" spans="1:4" x14ac:dyDescent="0.25">
      <c r="A330" s="2" t="str">
        <f>"4.3.1.00.04- Receitas Diversas"</f>
        <v>4.3.1.00.04- Receitas Diversas</v>
      </c>
      <c r="B330" s="10">
        <v>757246.96</v>
      </c>
      <c r="C330" s="10">
        <v>101782.65</v>
      </c>
      <c r="D330" s="10">
        <v>859029.61</v>
      </c>
    </row>
    <row r="331" spans="1:4" x14ac:dyDescent="0.25">
      <c r="A331" s="2" t="str">
        <f>"4.3.1.00.07- Concessão de Abrigo de ônibus"</f>
        <v>4.3.1.00.07- Concessão de Abrigo de ônibus</v>
      </c>
      <c r="B331" s="10">
        <v>250765.38</v>
      </c>
      <c r="C331" s="10">
        <v>0</v>
      </c>
      <c r="D331" s="10">
        <v>250765.38</v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x14ac:dyDescent="0.25">
      <c r="A350" s="2" t="str">
        <f>""</f>
        <v/>
      </c>
      <c r="B350" s="3" t="str">
        <f>""</f>
        <v/>
      </c>
      <c r="C350" s="3" t="str">
        <f>""</f>
        <v/>
      </c>
      <c r="D350" s="3" t="str">
        <f>""</f>
        <v/>
      </c>
    </row>
    <row r="351" spans="1:4" x14ac:dyDescent="0.25">
      <c r="A351" s="2" t="str">
        <f>""</f>
        <v/>
      </c>
      <c r="B351" s="3" t="str">
        <f>""</f>
        <v/>
      </c>
      <c r="C351" s="3" t="str">
        <f>""</f>
        <v/>
      </c>
      <c r="D351" s="3" t="str">
        <f>""</f>
        <v/>
      </c>
    </row>
    <row r="352" spans="1:4" x14ac:dyDescent="0.25">
      <c r="A352" s="2" t="str">
        <f>""</f>
        <v/>
      </c>
      <c r="B352" s="3" t="str">
        <f>""</f>
        <v/>
      </c>
      <c r="C352" s="3" t="str">
        <f>""</f>
        <v/>
      </c>
      <c r="D352" s="3" t="str">
        <f>""</f>
        <v/>
      </c>
    </row>
    <row r="353" spans="1:4" x14ac:dyDescent="0.25">
      <c r="A353" s="2" t="str">
        <f>""</f>
        <v/>
      </c>
      <c r="B353" s="3" t="str">
        <f>""</f>
        <v/>
      </c>
      <c r="C353" s="3" t="str">
        <f>""</f>
        <v/>
      </c>
      <c r="D353" s="3" t="str">
        <f>""</f>
        <v/>
      </c>
    </row>
    <row r="354" spans="1:4" x14ac:dyDescent="0.25">
      <c r="A354" s="2" t="str">
        <f>""</f>
        <v/>
      </c>
      <c r="B354" s="3" t="str">
        <f>""</f>
        <v/>
      </c>
      <c r="C354" s="3" t="str">
        <f>""</f>
        <v/>
      </c>
      <c r="D354" s="3" t="str">
        <f>""</f>
        <v/>
      </c>
    </row>
    <row r="355" spans="1:4" x14ac:dyDescent="0.25">
      <c r="A355" s="2" t="str">
        <f>""</f>
        <v/>
      </c>
      <c r="B355" s="3" t="str">
        <f>""</f>
        <v/>
      </c>
      <c r="C355" s="3" t="str">
        <f>""</f>
        <v/>
      </c>
      <c r="D355" s="3" t="str">
        <f>""</f>
        <v/>
      </c>
    </row>
    <row r="356" spans="1:4" ht="15.75" thickBot="1" x14ac:dyDescent="0.3">
      <c r="A356" s="4" t="str">
        <f>"APURACAO DE RESULTADOS"</f>
        <v>APURACAO DE RESULTADOS</v>
      </c>
      <c r="B356" s="5" t="str">
        <f>""</f>
        <v/>
      </c>
      <c r="C356" s="5" t="str">
        <f>""</f>
        <v/>
      </c>
      <c r="D356" s="5" t="str">
        <f>""</f>
        <v/>
      </c>
    </row>
    <row r="357" spans="1:4" x14ac:dyDescent="0.25">
      <c r="A357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4"/>
  <sheetViews>
    <sheetView workbookViewId="0">
      <selection activeCell="D1" sqref="D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15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53410631.880000003</v>
      </c>
      <c r="C4" s="10">
        <v>3148476.24</v>
      </c>
      <c r="D4" s="10">
        <v>56559108.119999997</v>
      </c>
    </row>
    <row r="5" spans="1:4" x14ac:dyDescent="0.25">
      <c r="A5" s="2" t="str">
        <f>"1.1.0.00.00- ATIVO CIRCULANTE"</f>
        <v>1.1.0.00.00- ATIVO CIRCULANTE</v>
      </c>
      <c r="B5" s="10">
        <v>29102704.84</v>
      </c>
      <c r="C5" s="10">
        <v>1433448.54</v>
      </c>
      <c r="D5" s="10">
        <v>30536153.379999999</v>
      </c>
    </row>
    <row r="6" spans="1:4" x14ac:dyDescent="0.25">
      <c r="A6" s="2" t="str">
        <f>"1.1.1.00.00- DISPONIVEL"</f>
        <v>1.1.1.00.00- DISPONIVEL</v>
      </c>
      <c r="B6" s="10">
        <v>16537589.15</v>
      </c>
      <c r="C6" s="10">
        <v>905162.5</v>
      </c>
      <c r="D6" s="10">
        <v>17442751.649999999</v>
      </c>
    </row>
    <row r="7" spans="1:4" x14ac:dyDescent="0.25">
      <c r="A7" s="2" t="str">
        <f>"1.1.1.01.00- CAIXA GERAL"</f>
        <v>1.1.1.01.00- CAIXA GERAL</v>
      </c>
      <c r="B7" s="10">
        <v>609.99</v>
      </c>
      <c r="C7" s="10">
        <v>1120</v>
      </c>
      <c r="D7" s="10">
        <v>1729.99</v>
      </c>
    </row>
    <row r="8" spans="1:4" x14ac:dyDescent="0.25">
      <c r="A8" s="2" t="str">
        <f>"1.1.1.01.04- Caixa - Georf"</f>
        <v>1.1.1.01.04- Caixa - Georf</v>
      </c>
      <c r="B8" s="10">
        <v>0</v>
      </c>
      <c r="C8" s="10">
        <v>520</v>
      </c>
      <c r="D8" s="10">
        <v>520</v>
      </c>
    </row>
    <row r="9" spans="1:4" x14ac:dyDescent="0.25">
      <c r="A9" s="2" t="str">
        <f>"1.1.1.01.08- Caixa - AJU"</f>
        <v>1.1.1.01.08- Caixa - AJU</v>
      </c>
      <c r="B9" s="10">
        <v>-0.01</v>
      </c>
      <c r="C9" s="10">
        <v>0</v>
      </c>
      <c r="D9" s="10">
        <v>-0.01</v>
      </c>
    </row>
    <row r="10" spans="1:4" x14ac:dyDescent="0.25">
      <c r="A10" s="2" t="str">
        <f>"1.1.1.01.09- Caixa - GEAMP"</f>
        <v>1.1.1.01.09- Caixa - GEAMP</v>
      </c>
      <c r="B10" s="10">
        <v>610</v>
      </c>
      <c r="C10" s="10">
        <v>600</v>
      </c>
      <c r="D10" s="10">
        <v>1210</v>
      </c>
    </row>
    <row r="11" spans="1:4" x14ac:dyDescent="0.25">
      <c r="A11" s="2" t="str">
        <f>"1.1.1.02.00- BANCOS C/MOVIMENTO"</f>
        <v>1.1.1.02.00- BANCOS C/MOVIMENTO</v>
      </c>
      <c r="B11" s="10">
        <v>472961.3</v>
      </c>
      <c r="C11" s="10">
        <v>-232320.36</v>
      </c>
      <c r="D11" s="10">
        <v>240640.94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33.94</v>
      </c>
      <c r="C12" s="10">
        <v>78.28</v>
      </c>
      <c r="D12" s="10">
        <v>112.22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176772.63</v>
      </c>
      <c r="C13" s="10">
        <v>-64342.28</v>
      </c>
      <c r="D13" s="10">
        <v>112430.35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567.24</v>
      </c>
      <c r="C14" s="10">
        <v>82755.44</v>
      </c>
      <c r="D14" s="10">
        <v>83322.679999999993</v>
      </c>
    </row>
    <row r="15" spans="1:4" x14ac:dyDescent="0.25">
      <c r="A15" s="2" t="str">
        <f>"1.1.1.02.32- Caixa Econômica Federal - 3292-3 Leilão"</f>
        <v>1.1.1.02.32- Caixa Econômica Federal - 3292-3 Leilão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"1.1.1.02.41- Caixa Econômica Federal - 3303-2Rotativo"</f>
        <v>1.1.1.02.41- Caixa Econômica Federal - 3303-2Rotativo</v>
      </c>
      <c r="B17" s="10">
        <v>293183.49</v>
      </c>
      <c r="C17" s="10">
        <v>-248567.8</v>
      </c>
      <c r="D17" s="10">
        <v>44615.69</v>
      </c>
    </row>
    <row r="18" spans="1:4" x14ac:dyDescent="0.25">
      <c r="A18" s="2" t="str">
        <f>"1.1.1.02.46- Caixa Econômica Federal - 3309-1 Rot int"</f>
        <v>1.1.1.02.46- Caixa Econômica Federal - 3309-1 Rot int</v>
      </c>
      <c r="B18" s="10">
        <v>2244</v>
      </c>
      <c r="C18" s="10">
        <v>-2244</v>
      </c>
      <c r="D18" s="10">
        <v>0</v>
      </c>
    </row>
    <row r="19" spans="1:4" x14ac:dyDescent="0.25">
      <c r="A19" s="2" t="str">
        <f>"1.1.1.03.00- APLICACOES FINANCEIRAS"</f>
        <v>1.1.1.03.00- APLICACOES FINANCEIRAS</v>
      </c>
      <c r="B19" s="10">
        <v>14822567.73</v>
      </c>
      <c r="C19" s="10">
        <v>1267277.57</v>
      </c>
      <c r="D19" s="10">
        <v>16089845.300000001</v>
      </c>
    </row>
    <row r="20" spans="1:4" x14ac:dyDescent="0.25">
      <c r="A20" s="2" t="str">
        <f>"1.1.1.03.23- Caixa Econômica Federal - 3291-5"</f>
        <v>1.1.1.03.23- Caixa Econômica Federal - 3291-5</v>
      </c>
      <c r="B20" s="10">
        <v>13617312.140000001</v>
      </c>
      <c r="C20" s="10">
        <v>1266811.67</v>
      </c>
      <c r="D20" s="10">
        <v>14884123.810000001</v>
      </c>
    </row>
    <row r="21" spans="1:4" x14ac:dyDescent="0.25">
      <c r="A21" s="2" t="str">
        <f>"1.1.1.03.25- Caixa Econômica Federal - 3292-3 Leilão"</f>
        <v>1.1.1.03.25- Caixa Econômica Federal - 3292-3 Leilão</v>
      </c>
      <c r="B21" s="10">
        <v>75528.56</v>
      </c>
      <c r="C21" s="10">
        <v>22.43</v>
      </c>
      <c r="D21" s="10">
        <v>75550.990000000005</v>
      </c>
    </row>
    <row r="22" spans="1:4" x14ac:dyDescent="0.25">
      <c r="A22" s="2" t="str">
        <f>"1.1.1.03.26- Caixa Econômica Federal - 3295-8Leilão13"</f>
        <v>1.1.1.03.26- Caixa Econômica Federal - 3295-8Leilão13</v>
      </c>
      <c r="B22" s="10">
        <v>206847.79</v>
      </c>
      <c r="C22" s="10">
        <v>61.41</v>
      </c>
      <c r="D22" s="10">
        <v>206909.2</v>
      </c>
    </row>
    <row r="23" spans="1:4" x14ac:dyDescent="0.25">
      <c r="A23" s="2" t="str">
        <f>"1.1.1.03.29- Caixa Econômica Federal - 3298-2Leilão15"</f>
        <v>1.1.1.03.29- Caixa Econômica Federal - 3298-2Leilão15</v>
      </c>
      <c r="B23" s="10">
        <v>102766.55</v>
      </c>
      <c r="C23" s="10">
        <v>16.29</v>
      </c>
      <c r="D23" s="10">
        <v>102782.84</v>
      </c>
    </row>
    <row r="24" spans="1:4" x14ac:dyDescent="0.25">
      <c r="A24" s="2" t="str">
        <f>"1.1.1.03.30- Caixa Econômica Federal - 3299-0Leilão16"</f>
        <v>1.1.1.03.30- Caixa Econômica Federal - 3299-0Leilão16</v>
      </c>
      <c r="B24" s="10">
        <v>130106.76</v>
      </c>
      <c r="C24" s="10">
        <v>38.630000000000003</v>
      </c>
      <c r="D24" s="10">
        <v>130145.39</v>
      </c>
    </row>
    <row r="25" spans="1:4" x14ac:dyDescent="0.25">
      <c r="A25" s="2" t="str">
        <f>"1.1.1.03.31- Caixa Econômica Federal - 3300-8Leilão16"</f>
        <v>1.1.1.03.31- Caixa Econômica Federal - 3300-8Leilão16</v>
      </c>
      <c r="B25" s="10">
        <v>46431.41</v>
      </c>
      <c r="C25" s="10">
        <v>7.37</v>
      </c>
      <c r="D25" s="10">
        <v>46438.78</v>
      </c>
    </row>
    <row r="26" spans="1:4" x14ac:dyDescent="0.25">
      <c r="A26" s="2" t="str">
        <f>"1.1.1.03.32- Caixa Econômica - 3301-6 Mídia"</f>
        <v>1.1.1.03.32- Caixa Econômica - 3301-6 Mídia</v>
      </c>
      <c r="B26" s="10">
        <v>91036.84</v>
      </c>
      <c r="C26" s="10">
        <v>32.74</v>
      </c>
      <c r="D26" s="10">
        <v>91069.58</v>
      </c>
    </row>
    <row r="27" spans="1:4" x14ac:dyDescent="0.25">
      <c r="A27" s="2" t="str">
        <f>"1.1.1.03.35- Caixa Econômica - 3304-0Caução"</f>
        <v>1.1.1.03.35- Caixa Econômica - 3304-0Caução</v>
      </c>
      <c r="B27" s="10">
        <v>219759.25</v>
      </c>
      <c r="C27" s="10">
        <v>155.69</v>
      </c>
      <c r="D27" s="10">
        <v>219914.94</v>
      </c>
    </row>
    <row r="28" spans="1:4" x14ac:dyDescent="0.25">
      <c r="A28" s="2" t="str">
        <f>"1.1.1.03.36- Caixa Econômica - 3305-9Sucumb."</f>
        <v>1.1.1.03.36- Caixa Econômica - 3305-9Sucumb.</v>
      </c>
      <c r="B28" s="10">
        <v>9617.07</v>
      </c>
      <c r="C28" s="10">
        <v>2.0099999999999998</v>
      </c>
      <c r="D28" s="10">
        <v>9619.08</v>
      </c>
    </row>
    <row r="29" spans="1:4" x14ac:dyDescent="0.25">
      <c r="A29" s="2" t="str">
        <f>"1.1.1.03.38- Caixa Econômica - 3308-3Leilão"</f>
        <v>1.1.1.03.38- Caixa Econômica - 3308-3Leilão</v>
      </c>
      <c r="B29" s="10">
        <v>2216.91</v>
      </c>
      <c r="C29" s="10">
        <v>0.53</v>
      </c>
      <c r="D29" s="10">
        <v>2217.44</v>
      </c>
    </row>
    <row r="30" spans="1:4" x14ac:dyDescent="0.25">
      <c r="A30" s="2" t="str">
        <f>"1.1.1.03.41- Caixa Econômica - 531-0 Aci moto poupanç"</f>
        <v>1.1.1.03.41- Caixa Econômica - 531-0 Aci moto poupanç</v>
      </c>
      <c r="B30" s="10">
        <v>0.02</v>
      </c>
      <c r="C30" s="10">
        <v>-0.02</v>
      </c>
      <c r="D30" s="10">
        <v>0</v>
      </c>
    </row>
    <row r="31" spans="1:4" x14ac:dyDescent="0.25">
      <c r="A31" s="2" t="str">
        <f>"1.1.1.03.42- Caixa Econômica - 532-9 Acid Ped Poupanç"</f>
        <v>1.1.1.03.42- Caixa Econômica - 532-9 Acid Ped Poupanç</v>
      </c>
      <c r="B31" s="10">
        <v>141.44</v>
      </c>
      <c r="C31" s="10">
        <v>0</v>
      </c>
      <c r="D31" s="10">
        <v>141.44</v>
      </c>
    </row>
    <row r="32" spans="1:4" x14ac:dyDescent="0.25">
      <c r="A32" s="2" t="str">
        <f>"1.1.1.03.43- Caixa Econômica - 534-5 Codemig Poupança"</f>
        <v>1.1.1.03.43- Caixa Econômica - 534-5 Codemig Poupança</v>
      </c>
      <c r="B32" s="10">
        <v>26403.31</v>
      </c>
      <c r="C32" s="10">
        <v>0</v>
      </c>
      <c r="D32" s="10">
        <v>26403.31</v>
      </c>
    </row>
    <row r="33" spans="1:4" x14ac:dyDescent="0.25">
      <c r="A33" s="2" t="str">
        <f>"1.1.1.03.44- Caixa Econômica - 535-3 Turblog Poupança"</f>
        <v>1.1.1.03.44- Caixa Econômica - 535-3 Turblog Poupança</v>
      </c>
      <c r="B33" s="10">
        <v>64949.46</v>
      </c>
      <c r="C33" s="10">
        <v>0</v>
      </c>
      <c r="D33" s="10">
        <v>64949.46</v>
      </c>
    </row>
    <row r="34" spans="1:4" x14ac:dyDescent="0.25">
      <c r="A34" s="2" t="str">
        <f>"1.1.1.03.45- Caixa Econômica Federal - 3393-8Leilão17"</f>
        <v>1.1.1.03.45- Caixa Econômica Federal - 3393-8Leilão17</v>
      </c>
      <c r="B34" s="10">
        <v>115444.51</v>
      </c>
      <c r="C34" s="10">
        <v>34.28</v>
      </c>
      <c r="D34" s="10">
        <v>115478.79</v>
      </c>
    </row>
    <row r="35" spans="1:4" x14ac:dyDescent="0.25">
      <c r="A35" s="2" t="str">
        <f>"1.1.1.03.46- Caixa Econômica Federal -3501-9Leillão17"</f>
        <v>1.1.1.03.46- Caixa Econômica Federal -3501-9Leillão17</v>
      </c>
      <c r="B35" s="10">
        <v>114005.71</v>
      </c>
      <c r="C35" s="10">
        <v>94.54</v>
      </c>
      <c r="D35" s="10">
        <v>114100.25</v>
      </c>
    </row>
    <row r="36" spans="1:4" x14ac:dyDescent="0.25">
      <c r="A36" s="2" t="str">
        <f>"1.1.1.04.00- BANCOS C/VINCULADA-PAMEH"</f>
        <v>1.1.1.04.00- BANCOS C/VINCULADA-PAMEH</v>
      </c>
      <c r="B36" s="10">
        <v>1241450.1299999999</v>
      </c>
      <c r="C36" s="10">
        <v>-130914.71</v>
      </c>
      <c r="D36" s="10">
        <v>1110535.42</v>
      </c>
    </row>
    <row r="37" spans="1:4" x14ac:dyDescent="0.25">
      <c r="A37" s="2" t="str">
        <f>"1.1.1.04.07- Caixa Econômica Federal - 3294-0"</f>
        <v>1.1.1.04.07- Caixa Econômica Federal - 3294-0</v>
      </c>
      <c r="B37" s="10">
        <v>1609.13</v>
      </c>
      <c r="C37" s="10">
        <v>4130.01</v>
      </c>
      <c r="D37" s="10">
        <v>5739.14</v>
      </c>
    </row>
    <row r="38" spans="1:4" x14ac:dyDescent="0.25">
      <c r="A38" s="2" t="str">
        <f>"1.1.1.04.08- Caixa Econômica Federal - 3294-0 Aplic."</f>
        <v>1.1.1.04.08- Caixa Econômica Federal - 3294-0 Aplic.</v>
      </c>
      <c r="B38" s="10">
        <v>1239841</v>
      </c>
      <c r="C38" s="10">
        <v>-135044.72</v>
      </c>
      <c r="D38" s="10">
        <v>1104796.28</v>
      </c>
    </row>
    <row r="39" spans="1:4" x14ac:dyDescent="0.25">
      <c r="A39" s="2" t="str">
        <f>"1.1.2.00.00- REALIZAVEL A CURTO PRAZO"</f>
        <v>1.1.2.00.00- REALIZAVEL A CURTO PRAZO</v>
      </c>
      <c r="B39" s="10">
        <v>12565115.689999999</v>
      </c>
      <c r="C39" s="10">
        <v>528286.04</v>
      </c>
      <c r="D39" s="10">
        <v>13093401.73</v>
      </c>
    </row>
    <row r="40" spans="1:4" x14ac:dyDescent="0.25">
      <c r="A40" s="2" t="str">
        <f>"1.1.2.01.00- CONTAS A RECEBER"</f>
        <v>1.1.2.01.00- CONTAS A RECEBER</v>
      </c>
      <c r="B40" s="10">
        <v>7071974.8399999999</v>
      </c>
      <c r="C40" s="10">
        <v>393885.57</v>
      </c>
      <c r="D40" s="10">
        <v>7465860.4100000001</v>
      </c>
    </row>
    <row r="41" spans="1:4" x14ac:dyDescent="0.25">
      <c r="A41" s="2" t="str">
        <f>"1.1.2.01.89- Multas Transporte Coletivo"</f>
        <v>1.1.2.01.89- Multas Transporte Coletivo</v>
      </c>
      <c r="B41" s="10">
        <v>8644455.8399999999</v>
      </c>
      <c r="C41" s="10">
        <v>529670.1</v>
      </c>
      <c r="D41" s="10">
        <v>9174125.9399999995</v>
      </c>
    </row>
    <row r="42" spans="1:4" x14ac:dyDescent="0.25">
      <c r="A42" s="2" t="str">
        <f>"1.1.2.01.93- Estacionamento Rotativo a Receber"</f>
        <v>1.1.2.01.93- Estacionamento Rotativo a Receber</v>
      </c>
      <c r="B42" s="10">
        <v>27045.03</v>
      </c>
      <c r="C42" s="10">
        <v>-4363.8599999999997</v>
      </c>
      <c r="D42" s="10">
        <v>22681.17</v>
      </c>
    </row>
    <row r="43" spans="1:4" x14ac:dyDescent="0.25">
      <c r="A43" s="2" t="str">
        <f>"1.1.2.01.94- Midia Onibus a Receber"</f>
        <v>1.1.2.01.94- Midia Onibus a Receber</v>
      </c>
      <c r="B43" s="10">
        <v>253567.34</v>
      </c>
      <c r="C43" s="10">
        <v>0</v>
      </c>
      <c r="D43" s="10">
        <v>253567.34</v>
      </c>
    </row>
    <row r="44" spans="1:4" x14ac:dyDescent="0.25">
      <c r="A44" s="2" t="str">
        <f>"1.1.2.01.98- Outras contas a receber"</f>
        <v>1.1.2.01.98- Outras contas a receber</v>
      </c>
      <c r="B44" s="10">
        <v>25486.65</v>
      </c>
      <c r="C44" s="10">
        <v>-25486.65</v>
      </c>
      <c r="D44" s="10">
        <v>0</v>
      </c>
    </row>
    <row r="45" spans="1:4" x14ac:dyDescent="0.25">
      <c r="A45" s="2" t="str">
        <f>"1.1.2.01.99- (-) Provisao para Perdas"</f>
        <v>1.1.2.01.99- (-) Provisao para Perdas</v>
      </c>
      <c r="B45" s="10">
        <v>-1878580.02</v>
      </c>
      <c r="C45" s="10">
        <v>-105934.02</v>
      </c>
      <c r="D45" s="10">
        <v>-1984514.04</v>
      </c>
    </row>
    <row r="46" spans="1:4" x14ac:dyDescent="0.25">
      <c r="A46" s="2" t="str">
        <f>"1.1.2.04.00- CONVÊNIOS A RECEBER"</f>
        <v>1.1.2.04.00- CONVÊNIOS A RECEBER</v>
      </c>
      <c r="B46" s="10">
        <v>6977.26</v>
      </c>
      <c r="C46" s="10">
        <v>-3488.63</v>
      </c>
      <c r="D46" s="10">
        <v>3488.63</v>
      </c>
    </row>
    <row r="47" spans="1:4" x14ac:dyDescent="0.25">
      <c r="A47" s="2" t="str">
        <f>"1.1.2.04.99- Convenios cedidos a receber"</f>
        <v>1.1.2.04.99- Convenios cedidos a receber</v>
      </c>
      <c r="B47" s="10">
        <v>6977.26</v>
      </c>
      <c r="C47" s="10">
        <v>-3488.63</v>
      </c>
      <c r="D47" s="10">
        <v>3488.63</v>
      </c>
    </row>
    <row r="48" spans="1:4" x14ac:dyDescent="0.25">
      <c r="A48" s="2" t="str">
        <f>"1.1.2.06.00- ADIANTAMENTO A EMPREGADOS"</f>
        <v>1.1.2.06.00- ADIANTAMENTO A EMPREGADOS</v>
      </c>
      <c r="B48" s="10">
        <v>3435833.91</v>
      </c>
      <c r="C48" s="10">
        <v>99065.4</v>
      </c>
      <c r="D48" s="10">
        <v>3534899.31</v>
      </c>
    </row>
    <row r="49" spans="1:4" x14ac:dyDescent="0.25">
      <c r="A49" s="2" t="str">
        <f>"1.1.2.06.01- Adiantamento de Ferias"</f>
        <v>1.1.2.06.01- Adiantamento de Ferias</v>
      </c>
      <c r="B49" s="10">
        <v>566034.56999999995</v>
      </c>
      <c r="C49" s="10">
        <v>-12298.05</v>
      </c>
      <c r="D49" s="10">
        <v>553736.52</v>
      </c>
    </row>
    <row r="50" spans="1:4" x14ac:dyDescent="0.25">
      <c r="A50" s="2" t="str">
        <f>"1.1.2.06.02- Adiantamento de 13. Salario"</f>
        <v>1.1.2.06.02- Adiantamento de 13. Salario</v>
      </c>
      <c r="B50" s="10">
        <v>2564739.06</v>
      </c>
      <c r="C50" s="10">
        <v>166811.91</v>
      </c>
      <c r="D50" s="10">
        <v>2731550.97</v>
      </c>
    </row>
    <row r="51" spans="1:4" x14ac:dyDescent="0.25">
      <c r="A51" s="2" t="str">
        <f>"1.1.2.06.03- Adiant. de Salario/Parc. Ferias"</f>
        <v>1.1.2.06.03- Adiant. de Salario/Parc. Ferias</v>
      </c>
      <c r="B51" s="10">
        <v>133022</v>
      </c>
      <c r="C51" s="10">
        <v>-50283.6</v>
      </c>
      <c r="D51" s="10">
        <v>82738.399999999994</v>
      </c>
    </row>
    <row r="52" spans="1:4" x14ac:dyDescent="0.25">
      <c r="A52" s="2" t="str">
        <f>"1.1.2.06.07- Adiantamento Pensao s/ Ferias"</f>
        <v>1.1.2.06.07- Adiantamento Pensao s/ Ferias</v>
      </c>
      <c r="B52" s="10">
        <v>172038.28</v>
      </c>
      <c r="C52" s="10">
        <v>-5164.8599999999997</v>
      </c>
      <c r="D52" s="10">
        <v>166873.42000000001</v>
      </c>
    </row>
    <row r="53" spans="1:4" x14ac:dyDescent="0.25">
      <c r="A53" s="2" t="str">
        <f>"1.1.2.08.00- ALMOXARIFADO"</f>
        <v>1.1.2.08.00- ALMOXARIFADO</v>
      </c>
      <c r="B53" s="10">
        <v>359163.94</v>
      </c>
      <c r="C53" s="10">
        <v>7083.32</v>
      </c>
      <c r="D53" s="10">
        <v>366247.26</v>
      </c>
    </row>
    <row r="54" spans="1:4" x14ac:dyDescent="0.25">
      <c r="A54" s="2" t="str">
        <f>"1.1.2.08.01- Material em Estoque"</f>
        <v>1.1.2.08.01- Material em Estoque</v>
      </c>
      <c r="B54" s="10">
        <v>359163.94</v>
      </c>
      <c r="C54" s="10">
        <v>7083.32</v>
      </c>
      <c r="D54" s="10">
        <v>366247.26</v>
      </c>
    </row>
    <row r="55" spans="1:4" x14ac:dyDescent="0.25">
      <c r="A55" s="2" t="str">
        <f>"1.1.2.10.00- IMPOSTOS E CONTRIB.A RECUPERAR"</f>
        <v>1.1.2.10.00- IMPOSTOS E CONTRIB.A RECUPERAR</v>
      </c>
      <c r="B55" s="10">
        <v>556097</v>
      </c>
      <c r="C55" s="10">
        <v>46532.11</v>
      </c>
      <c r="D55" s="10">
        <v>602629.11</v>
      </c>
    </row>
    <row r="56" spans="1:4" x14ac:dyDescent="0.25">
      <c r="A56" s="2" t="str">
        <f>"1.1.2.10.01- IR s/Aplicacao Financeira"</f>
        <v>1.1.2.10.01- IR s/Aplicacao Financeira</v>
      </c>
      <c r="B56" s="10">
        <v>438554.68</v>
      </c>
      <c r="C56" s="10">
        <v>46479.86</v>
      </c>
      <c r="D56" s="10">
        <v>485034.54</v>
      </c>
    </row>
    <row r="57" spans="1:4" x14ac:dyDescent="0.25">
      <c r="A57" s="2" t="str">
        <f>"1.1.2.10.08- IRRF a Compensar"</f>
        <v>1.1.2.10.08- IRRF a Compensar</v>
      </c>
      <c r="B57" s="10">
        <v>1454.99</v>
      </c>
      <c r="C57" s="10">
        <v>0</v>
      </c>
      <c r="D57" s="10">
        <v>1454.99</v>
      </c>
    </row>
    <row r="58" spans="1:4" x14ac:dyDescent="0.25">
      <c r="A58" s="2" t="str">
        <f>"1.1.2.10.15- Cofins a Compensar"</f>
        <v>1.1.2.10.15- Cofins a Compensar</v>
      </c>
      <c r="B58" s="10">
        <v>7.0000000000000007E-2</v>
      </c>
      <c r="C58" s="10">
        <v>0.02</v>
      </c>
      <c r="D58" s="10">
        <v>0.09</v>
      </c>
    </row>
    <row r="59" spans="1:4" x14ac:dyDescent="0.25">
      <c r="A59" s="2" t="str">
        <f>"1.1.2.10.16- PIS a Compensar"</f>
        <v>1.1.2.10.16- PIS a Compensar</v>
      </c>
      <c r="B59" s="10">
        <v>-0.01</v>
      </c>
      <c r="C59" s="10">
        <v>-0.01</v>
      </c>
      <c r="D59" s="10">
        <v>-0.02</v>
      </c>
    </row>
    <row r="60" spans="1:4" x14ac:dyDescent="0.25">
      <c r="A60" s="2" t="str">
        <f>"1.1.2.10.20- V.M.A PIS a Recuperar"</f>
        <v>1.1.2.10.20- V.M.A PIS a Recuperar</v>
      </c>
      <c r="B60" s="10">
        <v>1685.8</v>
      </c>
      <c r="C60" s="10">
        <v>28.61</v>
      </c>
      <c r="D60" s="10">
        <v>1714.41</v>
      </c>
    </row>
    <row r="61" spans="1:4" x14ac:dyDescent="0.25">
      <c r="A61" s="2" t="str">
        <f>"1.1.2.10.21- V.M.A IRRF a Compensar"</f>
        <v>1.1.2.10.21- V.M.A IRRF a Compensar</v>
      </c>
      <c r="B61" s="10">
        <v>556.12</v>
      </c>
      <c r="C61" s="10">
        <v>7.13</v>
      </c>
      <c r="D61" s="10">
        <v>563.25</v>
      </c>
    </row>
    <row r="62" spans="1:4" x14ac:dyDescent="0.25">
      <c r="A62" s="2" t="str">
        <f>"1.1.2.10.22- V.M.A COFINS a Compensar"</f>
        <v>1.1.2.10.22- V.M.A COFINS a Compensar</v>
      </c>
      <c r="B62" s="10">
        <v>5581.58</v>
      </c>
      <c r="C62" s="10">
        <v>16.5</v>
      </c>
      <c r="D62" s="10">
        <v>5598.08</v>
      </c>
    </row>
    <row r="63" spans="1:4" x14ac:dyDescent="0.25">
      <c r="A63" s="2" t="str">
        <f>"1.1.2.10.25- INSS a recuperar segurados"</f>
        <v>1.1.2.10.25- INSS a recuperar segurados</v>
      </c>
      <c r="B63" s="10">
        <v>108263.77</v>
      </c>
      <c r="C63" s="10">
        <v>0</v>
      </c>
      <c r="D63" s="10">
        <v>108263.77</v>
      </c>
    </row>
    <row r="64" spans="1:4" x14ac:dyDescent="0.25">
      <c r="A64" s="2" t="str">
        <f>"1.1.2.11.00- DESPESAS ANTECIPADAS"</f>
        <v>1.1.2.11.00- DESPESAS ANTECIPADAS</v>
      </c>
      <c r="B64" s="10">
        <v>7470.19</v>
      </c>
      <c r="C64" s="10">
        <v>-166.83</v>
      </c>
      <c r="D64" s="10">
        <v>7303.36</v>
      </c>
    </row>
    <row r="65" spans="1:4" x14ac:dyDescent="0.25">
      <c r="A65" s="2" t="str">
        <f>"1.1.2.11.01- Premios de Seguros a Vencer"</f>
        <v>1.1.2.11.01- Premios de Seguros a Vencer</v>
      </c>
      <c r="B65" s="10">
        <v>7470.19</v>
      </c>
      <c r="C65" s="10">
        <v>-166.83</v>
      </c>
      <c r="D65" s="10">
        <v>7303.36</v>
      </c>
    </row>
    <row r="66" spans="1:4" x14ac:dyDescent="0.25">
      <c r="A66" s="2" t="str">
        <f>"1.1.2.12.00- VALORES VINC.A RECEBER-PAMEH"</f>
        <v>1.1.2.12.00- VALORES VINC.A RECEBER-PAMEH</v>
      </c>
      <c r="B66" s="10">
        <v>789106.98</v>
      </c>
      <c r="C66" s="10">
        <v>1034.04</v>
      </c>
      <c r="D66" s="10">
        <v>790141.02</v>
      </c>
    </row>
    <row r="67" spans="1:4" x14ac:dyDescent="0.25">
      <c r="A67" s="2" t="str">
        <f>"1.1.2.12.01- Valores Vinculados-PAMEH"</f>
        <v>1.1.2.12.01- Valores Vinculados-PAMEH</v>
      </c>
      <c r="B67" s="10">
        <v>789106.98</v>
      </c>
      <c r="C67" s="10">
        <v>1034.04</v>
      </c>
      <c r="D67" s="10">
        <v>790141.02</v>
      </c>
    </row>
    <row r="68" spans="1:4" x14ac:dyDescent="0.25">
      <c r="A68" s="2" t="str">
        <f>"1.1.2.14.00- CONTAS TRANSITORIAS - GRUPO ATIVO"</f>
        <v>1.1.2.14.00- CONTAS TRANSITORIAS - GRUPO ATIVO</v>
      </c>
      <c r="B68" s="10">
        <v>266163.48</v>
      </c>
      <c r="C68" s="10">
        <v>-15590.48</v>
      </c>
      <c r="D68" s="10">
        <v>250573</v>
      </c>
    </row>
    <row r="69" spans="1:4" x14ac:dyDescent="0.25">
      <c r="A69" s="2" t="str">
        <f>"1.1.2.14.05- Transitoria Folha de Pagamento"</f>
        <v>1.1.2.14.05- Transitoria Folha de Pagamento</v>
      </c>
      <c r="B69" s="10">
        <v>266163.48</v>
      </c>
      <c r="C69" s="10">
        <v>-15590.48</v>
      </c>
      <c r="D69" s="10">
        <v>250573</v>
      </c>
    </row>
    <row r="70" spans="1:4" x14ac:dyDescent="0.25">
      <c r="A70" s="2" t="str">
        <f>"1.1.2.15.00- CARNE ESTACIONAMENTO ROTATIVO"</f>
        <v>1.1.2.15.00- CARNE ESTACIONAMENTO ROTATIVO</v>
      </c>
      <c r="B70" s="10">
        <v>72328.09</v>
      </c>
      <c r="C70" s="10">
        <v>-68.459999999999994</v>
      </c>
      <c r="D70" s="10">
        <v>72259.63</v>
      </c>
    </row>
    <row r="71" spans="1:4" x14ac:dyDescent="0.25">
      <c r="A71" s="2" t="str">
        <f>"1.1.2.15.01- Carne Rotativo"</f>
        <v>1.1.2.15.01- Carne Rotativo</v>
      </c>
      <c r="B71" s="10">
        <v>72328.09</v>
      </c>
      <c r="C71" s="10">
        <v>-68.459999999999994</v>
      </c>
      <c r="D71" s="10">
        <v>72259.63</v>
      </c>
    </row>
    <row r="72" spans="1:4" x14ac:dyDescent="0.25">
      <c r="A72" s="2" t="str">
        <f>"1.2.0.00.00- ATIVO NAO CIRCULANTE"</f>
        <v>1.2.0.00.00- ATIVO NAO CIRCULANTE</v>
      </c>
      <c r="B72" s="10">
        <v>24307927.039999999</v>
      </c>
      <c r="C72" s="10">
        <v>1715027.7</v>
      </c>
      <c r="D72" s="10">
        <v>26022954.739999998</v>
      </c>
    </row>
    <row r="73" spans="1:4" x14ac:dyDescent="0.25">
      <c r="A73" s="2" t="str">
        <f>"1.2.1.00.00- REALIZAVEL A LONGO PRAZO"</f>
        <v>1.2.1.00.00- REALIZAVEL A LONGO PRAZO</v>
      </c>
      <c r="B73" s="10">
        <v>22384602.530000001</v>
      </c>
      <c r="C73" s="10">
        <v>1736255.35</v>
      </c>
      <c r="D73" s="10">
        <v>24120857.879999999</v>
      </c>
    </row>
    <row r="74" spans="1:4" x14ac:dyDescent="0.25">
      <c r="A74" s="2" t="str">
        <f>"1.2.1.01.00- CREDITOS E VALORES A RECEBER"</f>
        <v>1.2.1.01.00- CREDITOS E VALORES A RECEBER</v>
      </c>
      <c r="B74" s="10">
        <v>22384602.530000001</v>
      </c>
      <c r="C74" s="10">
        <v>1736255.35</v>
      </c>
      <c r="D74" s="10">
        <v>24120857.879999999</v>
      </c>
    </row>
    <row r="75" spans="1:4" x14ac:dyDescent="0.25">
      <c r="A75" s="2" t="str">
        <f>"1.2.1.01.01- Depositos Judiciais"</f>
        <v>1.2.1.01.01- Depositos Judiciais</v>
      </c>
      <c r="B75" s="10">
        <v>9869147.5500000007</v>
      </c>
      <c r="C75" s="10">
        <v>1736255.35</v>
      </c>
      <c r="D75" s="10">
        <v>11605402.9</v>
      </c>
    </row>
    <row r="76" spans="1:4" x14ac:dyDescent="0.25">
      <c r="A76" s="2" t="str">
        <f>"1.2.1.01.03- Depositos Judiciais de Terceiros"</f>
        <v>1.2.1.01.03- Depositos Judiciais de Terceiros</v>
      </c>
      <c r="B76" s="10">
        <v>925087.39</v>
      </c>
      <c r="C76" s="10">
        <v>0</v>
      </c>
      <c r="D76" s="10">
        <v>925087.39</v>
      </c>
    </row>
    <row r="77" spans="1:4" x14ac:dyDescent="0.25">
      <c r="A77" s="2" t="str">
        <f>"1.2.1.01.04- Convenio Prefeitura Betim"</f>
        <v>1.2.1.01.04- Convenio Prefeitura Betim</v>
      </c>
      <c r="B77" s="10">
        <v>891.18</v>
      </c>
      <c r="C77" s="10">
        <v>0</v>
      </c>
      <c r="D77" s="10">
        <v>891.18</v>
      </c>
    </row>
    <row r="78" spans="1:4" x14ac:dyDescent="0.25">
      <c r="A78" s="2" t="str">
        <f>"1.2.1.01.05- Convenio IPSEMG"</f>
        <v>1.2.1.01.05- Convenio IPSEMG</v>
      </c>
      <c r="B78" s="10">
        <v>21163.53</v>
      </c>
      <c r="C78" s="10">
        <v>0</v>
      </c>
      <c r="D78" s="10">
        <v>21163.53</v>
      </c>
    </row>
    <row r="79" spans="1:4" x14ac:dyDescent="0.25">
      <c r="A79" s="2" t="str">
        <f>"1.2.1.01.06- Multas Transporte Coletivo"</f>
        <v>1.2.1.01.06- Multas Transporte Coletivo</v>
      </c>
      <c r="B79" s="10">
        <v>12853680.960000001</v>
      </c>
      <c r="C79" s="10">
        <v>0</v>
      </c>
      <c r="D79" s="10">
        <v>12853680.960000001</v>
      </c>
    </row>
    <row r="80" spans="1:4" x14ac:dyDescent="0.25">
      <c r="A80" s="2" t="str">
        <f>"1.2.1.01.07- (-) Provisao para Perdas"</f>
        <v>1.2.1.01.07- (-) Provisao para Perdas</v>
      </c>
      <c r="B80" s="10">
        <v>-1285368.08</v>
      </c>
      <c r="C80" s="10">
        <v>0</v>
      </c>
      <c r="D80" s="10">
        <v>-1285368.08</v>
      </c>
    </row>
    <row r="81" spans="1:4" x14ac:dyDescent="0.25">
      <c r="A81" s="2" t="str">
        <f>"1.3.1.00.00- INVESTIMENTOS"</f>
        <v>1.3.1.00.00-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"1.3.1.01.00- OUTROS INVESTIMENTOS"</f>
        <v>1.3.1.01.00- OUTROS INVESTIMENTOS</v>
      </c>
      <c r="B82" s="10">
        <v>26070</v>
      </c>
      <c r="C82" s="10">
        <v>0</v>
      </c>
      <c r="D82" s="10">
        <v>26070</v>
      </c>
    </row>
    <row r="83" spans="1:4" x14ac:dyDescent="0.25">
      <c r="A83" s="2" t="str">
        <f>"1.3.1.01.01- Obras de Arte"</f>
        <v>1.3.1.01.01- Obras de Arte</v>
      </c>
      <c r="B83" s="10">
        <v>25200</v>
      </c>
      <c r="C83" s="10">
        <v>0</v>
      </c>
      <c r="D83" s="10">
        <v>25200</v>
      </c>
    </row>
    <row r="84" spans="1:4" x14ac:dyDescent="0.25">
      <c r="A84" s="2" t="str">
        <f>"1.3.1.01.02- Participações Societárias - PBH ATIVOS"</f>
        <v>1.3.1.01.02- Participações Societárias - PBH ATIVOS</v>
      </c>
      <c r="B84" s="10">
        <v>870</v>
      </c>
      <c r="C84" s="10">
        <v>0</v>
      </c>
      <c r="D84" s="10">
        <v>870</v>
      </c>
    </row>
    <row r="85" spans="1:4" x14ac:dyDescent="0.25">
      <c r="A85" s="2" t="str">
        <f>"1.3.2.00.00- IMOBILIZADO"</f>
        <v>1.3.2.00.00- IMOBILIZADO</v>
      </c>
      <c r="B85" s="10">
        <v>7781994.4299999997</v>
      </c>
      <c r="C85" s="10">
        <v>-152637.28</v>
      </c>
      <c r="D85" s="10">
        <v>7629357.1500000004</v>
      </c>
    </row>
    <row r="86" spans="1:4" x14ac:dyDescent="0.25">
      <c r="A86" s="2" t="str">
        <f>"1.3.2.01.01- Maquinas e equipamentos"</f>
        <v>1.3.2.01.01- Maquinas e equipamentos</v>
      </c>
      <c r="B86" s="10">
        <v>243172.08</v>
      </c>
      <c r="C86" s="10">
        <v>-499</v>
      </c>
      <c r="D86" s="10">
        <v>242673.08</v>
      </c>
    </row>
    <row r="87" spans="1:4" x14ac:dyDescent="0.25">
      <c r="A87" s="2" t="str">
        <f>"1.3.2.02.01- Ferramentas"</f>
        <v>1.3.2.02.01- Ferramentas</v>
      </c>
      <c r="B87" s="10">
        <v>9104.81</v>
      </c>
      <c r="C87" s="10">
        <v>0</v>
      </c>
      <c r="D87" s="10">
        <v>9104.81</v>
      </c>
    </row>
    <row r="88" spans="1:4" x14ac:dyDescent="0.25">
      <c r="A88" s="2" t="str">
        <f>"1.3.2.03.01- Equipamentos de comunicacao"</f>
        <v>1.3.2.03.01- Equipamentos de comunicacao</v>
      </c>
      <c r="B88" s="10">
        <v>172167.01</v>
      </c>
      <c r="C88" s="10">
        <v>-605</v>
      </c>
      <c r="D88" s="10">
        <v>171562.01</v>
      </c>
    </row>
    <row r="89" spans="1:4" x14ac:dyDescent="0.25">
      <c r="A89" s="2" t="str">
        <f>"1.3.2.04.01- Instalacoes"</f>
        <v>1.3.2.04.01- Instalacoes</v>
      </c>
      <c r="B89" s="10">
        <v>85222.9</v>
      </c>
      <c r="C89" s="10">
        <v>0</v>
      </c>
      <c r="D89" s="10">
        <v>85222.9</v>
      </c>
    </row>
    <row r="90" spans="1:4" x14ac:dyDescent="0.25">
      <c r="A90" s="2" t="str">
        <f>"1.3.2.06.01- Moveis e utensilios"</f>
        <v>1.3.2.06.01- Moveis e utensilios</v>
      </c>
      <c r="B90" s="10">
        <v>541731.43999999994</v>
      </c>
      <c r="C90" s="10">
        <v>-17671.8</v>
      </c>
      <c r="D90" s="10">
        <v>524059.64</v>
      </c>
    </row>
    <row r="91" spans="1:4" x14ac:dyDescent="0.25">
      <c r="A91" s="2" t="str">
        <f>"1.3.2.08.01- Instalacoes administrativas"</f>
        <v>1.3.2.08.01- Instalacoes administrativas</v>
      </c>
      <c r="B91" s="10">
        <v>99146.34</v>
      </c>
      <c r="C91" s="10">
        <v>0</v>
      </c>
      <c r="D91" s="10">
        <v>99146.34</v>
      </c>
    </row>
    <row r="92" spans="1:4" x14ac:dyDescent="0.25">
      <c r="A92" s="2" t="str">
        <f>"1.3.2.09.01- Aparelhos/equipamentos diversos"</f>
        <v>1.3.2.09.01- Aparelhos/equipamentos diversos</v>
      </c>
      <c r="B92" s="10">
        <v>662158.13</v>
      </c>
      <c r="C92" s="10">
        <v>-6785</v>
      </c>
      <c r="D92" s="10">
        <v>655373.13</v>
      </c>
    </row>
    <row r="93" spans="1:4" x14ac:dyDescent="0.25">
      <c r="A93" s="2" t="str">
        <f>"1.3.2.10.01- Equip. p/ processamento de dados"</f>
        <v>1.3.2.10.01- Equip. p/ processamento de dados</v>
      </c>
      <c r="B93" s="10">
        <v>1550246.6</v>
      </c>
      <c r="C93" s="10">
        <v>0</v>
      </c>
      <c r="D93" s="10">
        <v>1550246.6</v>
      </c>
    </row>
    <row r="94" spans="1:4" x14ac:dyDescent="0.25">
      <c r="A94" s="2" t="str">
        <f>"1.3.2.12.01- Micros/impressoras e acessorios"</f>
        <v>1.3.2.12.01- Micros/impressoras e acessorios</v>
      </c>
      <c r="B94" s="10">
        <v>2745120.68</v>
      </c>
      <c r="C94" s="10">
        <v>-127076.48</v>
      </c>
      <c r="D94" s="10">
        <v>2618044.2000000002</v>
      </c>
    </row>
    <row r="95" spans="1:4" x14ac:dyDescent="0.25">
      <c r="A95" s="2" t="str">
        <f>"1.3.2.13.01- Imobilizacao em imoveis de terceiros"</f>
        <v>1.3.2.13.01- Imobilizacao em imoveis de terceiros</v>
      </c>
      <c r="B95" s="10">
        <v>511539.98</v>
      </c>
      <c r="C95" s="10">
        <v>0</v>
      </c>
      <c r="D95" s="10">
        <v>511539.98</v>
      </c>
    </row>
    <row r="96" spans="1:4" x14ac:dyDescent="0.25">
      <c r="A96" s="2" t="str">
        <f>"1.3.2.14.01- Estacao Diamante"</f>
        <v>1.3.2.14.01- Estacao Diamante</v>
      </c>
      <c r="B96" s="10">
        <v>1162384.46</v>
      </c>
      <c r="C96" s="10">
        <v>0</v>
      </c>
      <c r="D96" s="10">
        <v>1162384.46</v>
      </c>
    </row>
    <row r="97" spans="1:4" x14ac:dyDescent="0.25">
      <c r="A97" s="2" t="str">
        <f>"1.3.3.00.00- INTANGIVEL"</f>
        <v>1.3.3.00.00- INTANGIVEL</v>
      </c>
      <c r="B97" s="10">
        <v>37558</v>
      </c>
      <c r="C97" s="10">
        <v>0</v>
      </c>
      <c r="D97" s="10">
        <v>37558</v>
      </c>
    </row>
    <row r="98" spans="1:4" x14ac:dyDescent="0.25">
      <c r="A98" s="2" t="str">
        <f>"1.3.3.03.00- MARCAS E PATENTES"</f>
        <v>1.3.3.03.00- MARCAS E PATENTES</v>
      </c>
      <c r="B98" s="10">
        <v>808</v>
      </c>
      <c r="C98" s="10">
        <v>0</v>
      </c>
      <c r="D98" s="10">
        <v>808</v>
      </c>
    </row>
    <row r="99" spans="1:4" x14ac:dyDescent="0.25">
      <c r="A99" s="2" t="str">
        <f>"1.3.3.03.01- Marcas e Patentes"</f>
        <v>1.3.3.03.01- Marcas e Patentes</v>
      </c>
      <c r="B99" s="10">
        <v>808</v>
      </c>
      <c r="C99" s="10">
        <v>0</v>
      </c>
      <c r="D99" s="10">
        <v>808</v>
      </c>
    </row>
    <row r="100" spans="1:4" x14ac:dyDescent="0.25">
      <c r="A100" s="2" t="str">
        <f>"1.3.3.04.01- Programas e Sistemas"</f>
        <v>1.3.3.04.01- Programas e Sistemas</v>
      </c>
      <c r="B100" s="10">
        <v>36750</v>
      </c>
      <c r="C100" s="10">
        <v>0</v>
      </c>
      <c r="D100" s="10">
        <v>36750</v>
      </c>
    </row>
    <row r="101" spans="1:4" x14ac:dyDescent="0.25">
      <c r="A101" s="2" t="str">
        <f>"1.3.5.00.00- ( - )DEPRECIACAO E AMORTIZACAO"</f>
        <v>1.3.5.00.00- ( - )DEPRECIACAO E AMORTIZACAO</v>
      </c>
      <c r="B101" s="10">
        <v>-5922297.9199999999</v>
      </c>
      <c r="C101" s="10">
        <v>131409.63</v>
      </c>
      <c r="D101" s="10">
        <v>-5790888.29</v>
      </c>
    </row>
    <row r="102" spans="1:4" x14ac:dyDescent="0.25">
      <c r="A102" s="2" t="str">
        <f>"1.3.5.01.00- ( - ) DEPRECIACAO E AMORTIZACAO"</f>
        <v>1.3.5.01.00- ( - ) DEPRECIACAO E AMORTIZACAO</v>
      </c>
      <c r="B102" s="10">
        <v>-5922297.9199999999</v>
      </c>
      <c r="C102" s="10">
        <v>131409.63</v>
      </c>
      <c r="D102" s="10">
        <v>-5790888.29</v>
      </c>
    </row>
    <row r="103" spans="1:4" x14ac:dyDescent="0.25">
      <c r="A103" s="2" t="str">
        <f>"1.3.5.01.01- ( - ) Moveis e Utensilios"</f>
        <v>1.3.5.01.01- ( - ) Moveis e Utensilios</v>
      </c>
      <c r="B103" s="10">
        <v>-467048.79</v>
      </c>
      <c r="C103" s="10">
        <v>15250.31</v>
      </c>
      <c r="D103" s="10">
        <v>-451798.48</v>
      </c>
    </row>
    <row r="104" spans="1:4" x14ac:dyDescent="0.25">
      <c r="A104" s="2" t="str">
        <f>"1.3.5.01.02- ( - ) Aparelhos/Equipamentos Diversos"</f>
        <v>1.3.5.01.02- ( - ) Aparelhos/Equipamentos Diversos</v>
      </c>
      <c r="B104" s="10">
        <v>-407105.58</v>
      </c>
      <c r="C104" s="10">
        <v>2826.11</v>
      </c>
      <c r="D104" s="10">
        <v>-404279.47</v>
      </c>
    </row>
    <row r="105" spans="1:4" x14ac:dyDescent="0.25">
      <c r="A105" s="2" t="str">
        <f>"1.3.5.01.03- ( - ) Instalacoes Administrativas"</f>
        <v>1.3.5.01.03- ( - ) Instalacoes Administrativas</v>
      </c>
      <c r="B105" s="10">
        <v>-99059.53</v>
      </c>
      <c r="C105" s="10">
        <v>-3.31</v>
      </c>
      <c r="D105" s="10">
        <v>-99062.84</v>
      </c>
    </row>
    <row r="106" spans="1:4" x14ac:dyDescent="0.25">
      <c r="A106" s="2" t="str">
        <f>"1.3.5.01.05- ( - ) Impressoras e Micros"</f>
        <v>1.3.5.01.05- ( - ) Impressoras e Micros</v>
      </c>
      <c r="B106" s="10">
        <v>-3331749.84</v>
      </c>
      <c r="C106" s="10">
        <v>120097.15</v>
      </c>
      <c r="D106" s="10">
        <v>-3211652.69</v>
      </c>
    </row>
    <row r="107" spans="1:4" x14ac:dyDescent="0.25">
      <c r="A107" s="2" t="str">
        <f>"1.3.5.01.06- ( - ) Maquinas e Equipamentos"</f>
        <v>1.3.5.01.06- ( - ) Maquinas e Equipamentos</v>
      </c>
      <c r="B107" s="10">
        <v>-171782.31</v>
      </c>
      <c r="C107" s="10">
        <v>-895.58</v>
      </c>
      <c r="D107" s="10">
        <v>-172677.89</v>
      </c>
    </row>
    <row r="108" spans="1:4" x14ac:dyDescent="0.25">
      <c r="A108" s="2" t="str">
        <f>"1.3.5.01.07- ( - ) Equipamentos de Comunicacao"</f>
        <v>1.3.5.01.07- ( - ) Equipamentos de Comunicacao</v>
      </c>
      <c r="B108" s="10">
        <v>-172112.01</v>
      </c>
      <c r="C108" s="10">
        <v>600</v>
      </c>
      <c r="D108" s="10">
        <v>-171512.01</v>
      </c>
    </row>
    <row r="109" spans="1:4" x14ac:dyDescent="0.25">
      <c r="A109" s="2" t="str">
        <f>"1.3.5.01.08- ( - ) Instalacoes Operacionais"</f>
        <v>1.3.5.01.08- ( - ) Instalacoes Operacionais</v>
      </c>
      <c r="B109" s="10">
        <v>-69183.820000000007</v>
      </c>
      <c r="C109" s="10">
        <v>-232.87</v>
      </c>
      <c r="D109" s="10">
        <v>-69416.69</v>
      </c>
    </row>
    <row r="110" spans="1:4" x14ac:dyDescent="0.25">
      <c r="A110" s="2" t="str">
        <f>"1.3.5.01.09- ( - ) Programas (Softwares)"</f>
        <v>1.3.5.01.09- ( - ) Programas (Softwares)</v>
      </c>
      <c r="B110" s="10">
        <v>-35479.69</v>
      </c>
      <c r="C110" s="10">
        <v>-612.5</v>
      </c>
      <c r="D110" s="10">
        <v>-36092.19</v>
      </c>
    </row>
    <row r="111" spans="1:4" x14ac:dyDescent="0.25">
      <c r="A111" s="2" t="str">
        <f>"1.3.5.01.14- ( - ) Ferramentas"</f>
        <v>1.3.5.01.14- ( - ) Ferramentas</v>
      </c>
      <c r="B111" s="10">
        <v>-7762.61</v>
      </c>
      <c r="C111" s="10">
        <v>-39.93</v>
      </c>
      <c r="D111" s="10">
        <v>-7802.54</v>
      </c>
    </row>
    <row r="112" spans="1:4" x14ac:dyDescent="0.25">
      <c r="A112" s="2" t="str">
        <f>"1.3.5.01.15- ( - ) Imobilizacoes em Imov. Terceiros"</f>
        <v>1.3.5.01.15- ( - ) Imobilizacoes em Imov. Terceiros</v>
      </c>
      <c r="B112" s="10">
        <v>-1161013.74</v>
      </c>
      <c r="C112" s="10">
        <v>-5579.75</v>
      </c>
      <c r="D112" s="10">
        <v>-1166593.49</v>
      </c>
    </row>
    <row r="113" spans="1:4" x14ac:dyDescent="0.25">
      <c r="A113" s="2" t="str">
        <f>""</f>
        <v/>
      </c>
      <c r="B113" s="3" t="str">
        <f>""</f>
        <v/>
      </c>
      <c r="C113" s="3" t="str">
        <f>""</f>
        <v/>
      </c>
      <c r="D113" s="3" t="str">
        <f>""</f>
        <v/>
      </c>
    </row>
    <row r="114" spans="1:4" x14ac:dyDescent="0.25">
      <c r="A114" s="2" t="str">
        <f>"PASSIVO"</f>
        <v>PASSIVO</v>
      </c>
      <c r="B114" s="3" t="str">
        <f>""</f>
        <v/>
      </c>
      <c r="C114" s="3" t="str">
        <f>""</f>
        <v/>
      </c>
      <c r="D114" s="3" t="str">
        <f>""</f>
        <v/>
      </c>
    </row>
    <row r="115" spans="1:4" x14ac:dyDescent="0.25">
      <c r="A115" s="2" t="str">
        <f>"2.0.0.00.00- PASSIVO"</f>
        <v>2.0.0.00.00- PASSIVO</v>
      </c>
      <c r="B115" s="10">
        <v>61930037.969999999</v>
      </c>
      <c r="C115" s="10">
        <v>3587032.65</v>
      </c>
      <c r="D115" s="10">
        <v>65517070.619999997</v>
      </c>
    </row>
    <row r="116" spans="1:4" x14ac:dyDescent="0.25">
      <c r="A116" s="2" t="str">
        <f>"2.1.0.00.00- PASSIVO CIRCULANTE"</f>
        <v>2.1.0.00.00- PASSIVO CIRCULANTE</v>
      </c>
      <c r="B116" s="10">
        <v>91527323.140000001</v>
      </c>
      <c r="C116" s="10">
        <v>3697569.85</v>
      </c>
      <c r="D116" s="10">
        <v>95224892.989999995</v>
      </c>
    </row>
    <row r="117" spans="1:4" x14ac:dyDescent="0.25">
      <c r="A117" s="2" t="str">
        <f>"2.1.1.00.00- OBRIGACOES COM PESSOAL"</f>
        <v>2.1.1.00.00- OBRIGACOES COM PESSOAL</v>
      </c>
      <c r="B117" s="10">
        <v>19344166.609999999</v>
      </c>
      <c r="C117" s="10">
        <v>531820.29</v>
      </c>
      <c r="D117" s="10">
        <v>19875986.899999999</v>
      </c>
    </row>
    <row r="118" spans="1:4" x14ac:dyDescent="0.25">
      <c r="A118" s="2" t="str">
        <f>"2.1.1.01.00- SALARIOS A PAGAR"</f>
        <v>2.1.1.01.00- SALARIOS A PAGAR</v>
      </c>
      <c r="B118" s="10">
        <v>19344166.609999999</v>
      </c>
      <c r="C118" s="10">
        <v>531820.29</v>
      </c>
      <c r="D118" s="10">
        <v>19875986.899999999</v>
      </c>
    </row>
    <row r="119" spans="1:4" x14ac:dyDescent="0.25">
      <c r="A119" s="2" t="str">
        <f>"2.1.1.01.01- Salarios a Pagar"</f>
        <v>2.1.1.01.01- Salarios a Pagar</v>
      </c>
      <c r="B119" s="10">
        <v>4664062.9800000004</v>
      </c>
      <c r="C119" s="10">
        <v>81391.34</v>
      </c>
      <c r="D119" s="10">
        <v>4745454.32</v>
      </c>
    </row>
    <row r="120" spans="1:4" x14ac:dyDescent="0.25">
      <c r="A120" s="2" t="str">
        <f>"2.1.1.01.02- Provisão 13º Salário"</f>
        <v>2.1.1.01.02- Provisão 13º Salário</v>
      </c>
      <c r="B120" s="10">
        <v>4844774.17</v>
      </c>
      <c r="C120" s="10">
        <v>480604.41</v>
      </c>
      <c r="D120" s="10">
        <v>5325378.58</v>
      </c>
    </row>
    <row r="121" spans="1:4" x14ac:dyDescent="0.25">
      <c r="A121" s="2" t="str">
        <f>"2.1.1.01.03- Ferias a pagar"</f>
        <v>2.1.1.01.03- Ferias a pagar</v>
      </c>
      <c r="B121" s="10">
        <v>7114.34</v>
      </c>
      <c r="C121" s="10">
        <v>96469.38</v>
      </c>
      <c r="D121" s="10">
        <v>103583.72</v>
      </c>
    </row>
    <row r="122" spans="1:4" x14ac:dyDescent="0.25">
      <c r="A122" s="2" t="str">
        <f>"2.1.1.01.05- Rescisoes a Pagar"</f>
        <v>2.1.1.01.05- Rescisoes a Pagar</v>
      </c>
      <c r="B122" s="10">
        <v>1446.46</v>
      </c>
      <c r="C122" s="10">
        <v>-596.66</v>
      </c>
      <c r="D122" s="10">
        <v>849.8</v>
      </c>
    </row>
    <row r="123" spans="1:4" x14ac:dyDescent="0.25">
      <c r="A123" s="2" t="str">
        <f>"2.1.1.01.09- Provisao de Ferias"</f>
        <v>2.1.1.01.09- Provisao de Ferias</v>
      </c>
      <c r="B123" s="10">
        <v>7651292.9199999999</v>
      </c>
      <c r="C123" s="10">
        <v>200585.9</v>
      </c>
      <c r="D123" s="10">
        <v>7851878.8200000003</v>
      </c>
    </row>
    <row r="124" spans="1:4" x14ac:dyDescent="0.25">
      <c r="A124" s="2" t="str">
        <f>"2.1.1.01.11- Indenizações trabalhistas - ACT"</f>
        <v>2.1.1.01.11- Indenizações trabalhistas - ACT</v>
      </c>
      <c r="B124" s="10">
        <v>2175475.7400000002</v>
      </c>
      <c r="C124" s="10">
        <v>-326634.08</v>
      </c>
      <c r="D124" s="10">
        <v>1848841.66</v>
      </c>
    </row>
    <row r="125" spans="1:4" x14ac:dyDescent="0.25">
      <c r="A125" s="2" t="str">
        <f>"2.1.2.00.00- OBRIGACOES SOCIAIS A CURTO PRAZO"</f>
        <v>2.1.2.00.00- OBRIGACOES SOCIAIS A CURTO PRAZO</v>
      </c>
      <c r="B125" s="10">
        <v>7909958.6100000003</v>
      </c>
      <c r="C125" s="10">
        <v>224804.97</v>
      </c>
      <c r="D125" s="10">
        <v>8134763.5800000001</v>
      </c>
    </row>
    <row r="126" spans="1:4" x14ac:dyDescent="0.25">
      <c r="A126" s="2" t="str">
        <f>"2.1.2.01.00- OBRIGACOES SOCIAIS A RECOLHER"</f>
        <v>2.1.2.01.00- OBRIGACOES SOCIAIS A RECOLHER</v>
      </c>
      <c r="B126" s="10">
        <v>7909958.6100000003</v>
      </c>
      <c r="C126" s="10">
        <v>224804.97</v>
      </c>
      <c r="D126" s="10">
        <v>8134763.5800000001</v>
      </c>
    </row>
    <row r="127" spans="1:4" x14ac:dyDescent="0.25">
      <c r="A127" s="2" t="str">
        <f>"2.1.2.01.01- INSS a recolher s/Folha Pagto"</f>
        <v>2.1.2.01.01- INSS a recolher s/Folha Pagto</v>
      </c>
      <c r="B127" s="10">
        <v>2345880.63</v>
      </c>
      <c r="C127" s="10">
        <v>-14400.94</v>
      </c>
      <c r="D127" s="10">
        <v>2331479.69</v>
      </c>
    </row>
    <row r="128" spans="1:4" x14ac:dyDescent="0.25">
      <c r="A128" s="2" t="str">
        <f>"2.1.2.01.02- FGTS a recolher s/Folha Pagto"</f>
        <v>2.1.2.01.02- FGTS a recolher s/Folha Pagto</v>
      </c>
      <c r="B128" s="10">
        <v>524627.88</v>
      </c>
      <c r="C128" s="10">
        <v>7518.75</v>
      </c>
      <c r="D128" s="10">
        <v>532146.63</v>
      </c>
    </row>
    <row r="129" spans="1:4" x14ac:dyDescent="0.25">
      <c r="A129" s="2" t="str">
        <f>"2.1.2.01.05- Contribuicao Sindical"</f>
        <v>2.1.2.01.05- Contribuicao Sindical</v>
      </c>
      <c r="B129" s="10">
        <v>7484.02</v>
      </c>
      <c r="C129" s="10">
        <v>-22.68</v>
      </c>
      <c r="D129" s="10">
        <v>7461.34</v>
      </c>
    </row>
    <row r="130" spans="1:4" x14ac:dyDescent="0.25">
      <c r="A130" s="2" t="str">
        <f>"2.1.2.01.06- INSS s/Provisao de Ferias"</f>
        <v>2.1.2.01.06- INSS s/Provisao de Ferias</v>
      </c>
      <c r="B130" s="10">
        <v>2195448.91</v>
      </c>
      <c r="C130" s="10">
        <v>54152.06</v>
      </c>
      <c r="D130" s="10">
        <v>2249600.9700000002</v>
      </c>
    </row>
    <row r="131" spans="1:4" x14ac:dyDescent="0.25">
      <c r="A131" s="2" t="str">
        <f>"2.1.2.01.07- AEB - Assoc. Empreg. BHTRANS"</f>
        <v>2.1.2.01.07- AEB - Assoc. Empreg. BHTRANS</v>
      </c>
      <c r="B131" s="10">
        <v>4872.24</v>
      </c>
      <c r="C131" s="10">
        <v>-77.77</v>
      </c>
      <c r="D131" s="10">
        <v>4794.47</v>
      </c>
    </row>
    <row r="132" spans="1:4" x14ac:dyDescent="0.25">
      <c r="A132" s="2" t="str">
        <f>"2.1.2.01.10- INSS s/Provisao de 13.Salario"</f>
        <v>2.1.2.01.10- INSS s/Provisao de 13.Salario</v>
      </c>
      <c r="B132" s="10">
        <v>1392152.68</v>
      </c>
      <c r="C132" s="10">
        <v>135309.13</v>
      </c>
      <c r="D132" s="10">
        <v>1527461.81</v>
      </c>
    </row>
    <row r="133" spans="1:4" x14ac:dyDescent="0.25">
      <c r="A133" s="2" t="str">
        <f>"2.1.2.01.11- FGTS s/Provisao de 13.Salario"</f>
        <v>2.1.2.01.11- FGTS s/Provisao de 13.Salario</v>
      </c>
      <c r="B133" s="10">
        <v>184389.77</v>
      </c>
      <c r="C133" s="10">
        <v>24299.279999999999</v>
      </c>
      <c r="D133" s="10">
        <v>208689.05</v>
      </c>
    </row>
    <row r="134" spans="1:4" x14ac:dyDescent="0.25">
      <c r="A134" s="2" t="str">
        <f>"2.1.2.01.12- FGTS s/Provisao de Ferias"</f>
        <v>2.1.2.01.12- FGTS s/Provisao de Ferias</v>
      </c>
      <c r="B134" s="10">
        <v>611435.71</v>
      </c>
      <c r="C134" s="10">
        <v>16034.55</v>
      </c>
      <c r="D134" s="10">
        <v>627470.26</v>
      </c>
    </row>
    <row r="135" spans="1:4" x14ac:dyDescent="0.25">
      <c r="A135" s="2" t="str">
        <f>"2.1.2.01.13- Contribuicao ao PAMEH"</f>
        <v>2.1.2.01.13- Contribuicao ao PAMEH</v>
      </c>
      <c r="B135" s="10">
        <v>468767.82</v>
      </c>
      <c r="C135" s="10">
        <v>-2416.6999999999998</v>
      </c>
      <c r="D135" s="10">
        <v>466351.12</v>
      </c>
    </row>
    <row r="136" spans="1:4" x14ac:dyDescent="0.25">
      <c r="A136" s="2" t="str">
        <f>"2.1.2.01.15- Crediserv-BH"</f>
        <v>2.1.2.01.15- Crediserv-BH</v>
      </c>
      <c r="B136" s="10">
        <v>18341.16</v>
      </c>
      <c r="C136" s="10">
        <v>-182.11</v>
      </c>
      <c r="D136" s="10">
        <v>18159.05</v>
      </c>
    </row>
    <row r="137" spans="1:4" x14ac:dyDescent="0.25">
      <c r="A137" s="2" t="str">
        <f>"2.1.2.01.16- INSS Fonte a Recolher - PJ"</f>
        <v>2.1.2.01.16- INSS Fonte a Recolher - PJ</v>
      </c>
      <c r="B137" s="10">
        <v>155797.16</v>
      </c>
      <c r="C137" s="10">
        <v>4408.97</v>
      </c>
      <c r="D137" s="10">
        <v>160206.13</v>
      </c>
    </row>
    <row r="138" spans="1:4" x14ac:dyDescent="0.25">
      <c r="A138" s="2" t="str">
        <f>"2.1.2.01.18- INSS Fonte a Recolher - P F"</f>
        <v>2.1.2.01.18- INSS Fonte a Recolher - P F</v>
      </c>
      <c r="B138" s="10">
        <v>760.63</v>
      </c>
      <c r="C138" s="10">
        <v>182.43</v>
      </c>
      <c r="D138" s="10">
        <v>943.06</v>
      </c>
    </row>
    <row r="139" spans="1:4" x14ac:dyDescent="0.25">
      <c r="A139" s="2" t="str">
        <f>"2.1.3.00.00- OBRIGACOES FISCAIS A CURTO PRAZO"</f>
        <v>2.1.3.00.00- OBRIGACOES FISCAIS A CURTO PRAZO</v>
      </c>
      <c r="B139" s="10">
        <v>2254392.1</v>
      </c>
      <c r="C139" s="10">
        <v>-134173.04</v>
      </c>
      <c r="D139" s="10">
        <v>2120219.06</v>
      </c>
    </row>
    <row r="140" spans="1:4" x14ac:dyDescent="0.25">
      <c r="A140" s="2" t="str">
        <f>"2.1.3.01.00- IMPOSTOS E TAXAS A RECOLHER"</f>
        <v>2.1.3.01.00- IMPOSTOS E TAXAS A RECOLHER</v>
      </c>
      <c r="B140" s="10">
        <v>2254392.1</v>
      </c>
      <c r="C140" s="10">
        <v>-134173.04</v>
      </c>
      <c r="D140" s="10">
        <v>2120219.06</v>
      </c>
    </row>
    <row r="141" spans="1:4" x14ac:dyDescent="0.25">
      <c r="A141" s="2" t="str">
        <f>"2.1.3.01.01- IRRF Fonte Folha Pagto"</f>
        <v>2.1.3.01.01- IRRF Fonte Folha Pagto</v>
      </c>
      <c r="B141" s="10">
        <v>785500.2</v>
      </c>
      <c r="C141" s="10">
        <v>-62566.86</v>
      </c>
      <c r="D141" s="10">
        <v>722933.34</v>
      </c>
    </row>
    <row r="142" spans="1:4" x14ac:dyDescent="0.25">
      <c r="A142" s="2" t="str">
        <f>"2.1.3.01.03- IRRF Fonte - Pessoa  Juridica e Física"</f>
        <v>2.1.3.01.03- IRRF Fonte - Pessoa  Juridica e Física</v>
      </c>
      <c r="B142" s="10">
        <v>19510.07</v>
      </c>
      <c r="C142" s="10">
        <v>1681.5</v>
      </c>
      <c r="D142" s="10">
        <v>21191.57</v>
      </c>
    </row>
    <row r="143" spans="1:4" x14ac:dyDescent="0.25">
      <c r="A143" s="2" t="str">
        <f>"2.1.3.01.04- ISS Retido Fonte PF"</f>
        <v>2.1.3.01.04- ISS Retido Fonte PF</v>
      </c>
      <c r="B143" s="10">
        <v>375</v>
      </c>
      <c r="C143" s="10">
        <v>-375</v>
      </c>
      <c r="D143" s="10">
        <v>0</v>
      </c>
    </row>
    <row r="144" spans="1:4" x14ac:dyDescent="0.25">
      <c r="A144" s="2" t="str">
        <f>"2.1.3.01.05- ISS S/ Faturamento"</f>
        <v>2.1.3.01.05- ISS S/ Faturamento</v>
      </c>
      <c r="B144" s="10">
        <v>4919.83</v>
      </c>
      <c r="C144" s="10">
        <v>-2145.29</v>
      </c>
      <c r="D144" s="10">
        <v>2774.54</v>
      </c>
    </row>
    <row r="145" spans="1:4" x14ac:dyDescent="0.25">
      <c r="A145" s="2" t="str">
        <f>"2.1.3.01.07- COFINS a Recolher"</f>
        <v>2.1.3.01.07- COFINS a Recolher</v>
      </c>
      <c r="B145" s="10">
        <v>1106762.45</v>
      </c>
      <c r="C145" s="10">
        <v>-59420.44</v>
      </c>
      <c r="D145" s="10">
        <v>1047342.01</v>
      </c>
    </row>
    <row r="146" spans="1:4" x14ac:dyDescent="0.25">
      <c r="A146" s="2" t="str">
        <f>"2.1.3.01.08- PIS a Recolher"</f>
        <v>2.1.3.01.08- PIS a Recolher</v>
      </c>
      <c r="B146" s="10">
        <v>240020.02</v>
      </c>
      <c r="C146" s="10">
        <v>-12897.54</v>
      </c>
      <c r="D146" s="10">
        <v>227122.48</v>
      </c>
    </row>
    <row r="147" spans="1:4" x14ac:dyDescent="0.25">
      <c r="A147" s="2" t="str">
        <f>"2.1.3.01.09- ISS Fonte a Recolher P.Juridica"</f>
        <v>2.1.3.01.09- ISS Fonte a Recolher P.Juridica</v>
      </c>
      <c r="B147" s="10">
        <v>4716.2700000000004</v>
      </c>
      <c r="C147" s="10">
        <v>-2291.58</v>
      </c>
      <c r="D147" s="10">
        <v>2424.69</v>
      </c>
    </row>
    <row r="148" spans="1:4" x14ac:dyDescent="0.25">
      <c r="A148" s="2" t="str">
        <f>"2.1.3.01.12- CSLL-COFINS-PIS - FONTE"</f>
        <v>2.1.3.01.12- CSLL-COFINS-PIS - FONTE</v>
      </c>
      <c r="B148" s="10">
        <v>92588.26</v>
      </c>
      <c r="C148" s="10">
        <v>3842.17</v>
      </c>
      <c r="D148" s="10">
        <v>96430.43</v>
      </c>
    </row>
    <row r="149" spans="1:4" x14ac:dyDescent="0.25">
      <c r="A149" s="2" t="str">
        <f>"2.1.4.00.00- OUTRAS OBRIGACOES A CURTO PRAZO"</f>
        <v>2.1.4.00.00- OUTRAS OBRIGACOES A CURTO PRAZO</v>
      </c>
      <c r="B149" s="10">
        <v>61969847.549999997</v>
      </c>
      <c r="C149" s="10">
        <v>3070462.08</v>
      </c>
      <c r="D149" s="10">
        <v>65040309.630000003</v>
      </c>
    </row>
    <row r="150" spans="1:4" x14ac:dyDescent="0.25">
      <c r="A150" s="2" t="str">
        <f>"2.1.4.01.00- FORNECEDORES"</f>
        <v>2.1.4.01.00- FORNECEDORES</v>
      </c>
      <c r="B150" s="10">
        <v>3263013.71</v>
      </c>
      <c r="C150" s="10">
        <v>961262.6</v>
      </c>
      <c r="D150" s="10">
        <v>4224276.3099999996</v>
      </c>
    </row>
    <row r="151" spans="1:4" x14ac:dyDescent="0.25">
      <c r="A151" s="2" t="str">
        <f>"2.1.4.01.98- Fornecedores - Pameh"</f>
        <v>2.1.4.01.98- Fornecedores - Pameh</v>
      </c>
      <c r="B151" s="10">
        <v>1153.45</v>
      </c>
      <c r="C151" s="10">
        <v>-198.48</v>
      </c>
      <c r="D151" s="10">
        <v>954.97</v>
      </c>
    </row>
    <row r="152" spans="1:4" x14ac:dyDescent="0.25">
      <c r="A152" s="2" t="str">
        <f>"2.1.4.01.99- Fornecedores"</f>
        <v>2.1.4.01.99- Fornecedores</v>
      </c>
      <c r="B152" s="10">
        <v>3261860.26</v>
      </c>
      <c r="C152" s="10">
        <v>961461.08</v>
      </c>
      <c r="D152" s="10">
        <v>4223321.34</v>
      </c>
    </row>
    <row r="153" spans="1:4" x14ac:dyDescent="0.25">
      <c r="A153" s="2" t="str">
        <f>"2.1.4.02.00- CONTAS A PAGAR"</f>
        <v>2.1.4.02.00- CONTAS A PAGAR</v>
      </c>
      <c r="B153" s="10">
        <v>560035.65</v>
      </c>
      <c r="C153" s="10">
        <v>129147.86</v>
      </c>
      <c r="D153" s="10">
        <v>689183.51</v>
      </c>
    </row>
    <row r="154" spans="1:4" x14ac:dyDescent="0.25">
      <c r="A154" s="2" t="str">
        <f>"2.1.4.02.01- Emprestimo Consignado - Bradesco"</f>
        <v>2.1.4.02.01- Emprestimo Consignado - Bradesco</v>
      </c>
      <c r="B154" s="10">
        <v>147423.49</v>
      </c>
      <c r="C154" s="10">
        <v>-2073.9</v>
      </c>
      <c r="D154" s="10">
        <v>145349.59</v>
      </c>
    </row>
    <row r="155" spans="1:4" x14ac:dyDescent="0.25">
      <c r="A155" s="2" t="str">
        <f>"2.1.4.02.03- Emprestimo Consignado - CEF"</f>
        <v>2.1.4.02.03- Emprestimo Consignado - CEF</v>
      </c>
      <c r="B155" s="10">
        <v>20601.3</v>
      </c>
      <c r="C155" s="10">
        <v>1001.09</v>
      </c>
      <c r="D155" s="10">
        <v>21602.39</v>
      </c>
    </row>
    <row r="156" spans="1:4" x14ac:dyDescent="0.25">
      <c r="A156" s="2" t="str">
        <f>"2.1.4.02.04- Emprestimo Consignado - B.Brasil"</f>
        <v>2.1.4.02.04- Emprestimo Consignado - B.Brasil</v>
      </c>
      <c r="B156" s="10">
        <v>59713.41</v>
      </c>
      <c r="C156" s="10">
        <v>4315.1000000000004</v>
      </c>
      <c r="D156" s="10">
        <v>64028.51</v>
      </c>
    </row>
    <row r="157" spans="1:4" x14ac:dyDescent="0.25">
      <c r="A157" s="2" t="str">
        <f>"2.1.4.02.05- Emprestimo Consignado-Banco Alfa"</f>
        <v>2.1.4.02.05- Emprestimo Consignado-Banco Alfa</v>
      </c>
      <c r="B157" s="10">
        <v>48709.13</v>
      </c>
      <c r="C157" s="10">
        <v>-1786.98</v>
      </c>
      <c r="D157" s="10">
        <v>46922.15</v>
      </c>
    </row>
    <row r="158" spans="1:4" x14ac:dyDescent="0.25">
      <c r="A158" s="2" t="str">
        <f>"2.1.4.02.07- Emprestimo Consignado - B. Safra"</f>
        <v>2.1.4.02.07- Emprestimo Consignado - B. Safra</v>
      </c>
      <c r="B158" s="10">
        <v>9711.3799999999992</v>
      </c>
      <c r="C158" s="10">
        <v>0</v>
      </c>
      <c r="D158" s="10">
        <v>9711.3799999999992</v>
      </c>
    </row>
    <row r="159" spans="1:4" x14ac:dyDescent="0.25">
      <c r="A159" s="2" t="str">
        <f>"2.1.4.02.10- Cartão - BMG Card"</f>
        <v>2.1.4.02.10- Cartão - BMG Card</v>
      </c>
      <c r="B159" s="10">
        <v>10025.01</v>
      </c>
      <c r="C159" s="10">
        <v>-179.98</v>
      </c>
      <c r="D159" s="10">
        <v>9845.0300000000007</v>
      </c>
    </row>
    <row r="160" spans="1:4" x14ac:dyDescent="0.25">
      <c r="A160" s="2" t="str">
        <f>"2.1.4.02.11- Contrib.Entid.Classe"</f>
        <v>2.1.4.02.11- Contrib.Entid.Classe</v>
      </c>
      <c r="B160" s="10">
        <v>218.54</v>
      </c>
      <c r="C160" s="10">
        <v>-218.54</v>
      </c>
      <c r="D160" s="10">
        <v>0</v>
      </c>
    </row>
    <row r="161" spans="1:4" x14ac:dyDescent="0.25">
      <c r="A161" s="2" t="str">
        <f>"2.1.4.02.12- Custas judiciais"</f>
        <v>2.1.4.02.12- Custas judiciais</v>
      </c>
      <c r="B161" s="10">
        <v>7000</v>
      </c>
      <c r="C161" s="10">
        <v>-5862.95</v>
      </c>
      <c r="D161" s="10">
        <v>1137.05</v>
      </c>
    </row>
    <row r="162" spans="1:4" x14ac:dyDescent="0.25">
      <c r="A162" s="2" t="str">
        <f>"2.1.4.02.99- Contas a Pagar"</f>
        <v>2.1.4.02.99- Contas a Pagar</v>
      </c>
      <c r="B162" s="10">
        <v>256633.39</v>
      </c>
      <c r="C162" s="10">
        <v>133954.01999999999</v>
      </c>
      <c r="D162" s="10">
        <v>390587.41</v>
      </c>
    </row>
    <row r="163" spans="1:4" x14ac:dyDescent="0.25">
      <c r="A163" s="2" t="str">
        <f>"2.1.4.03.00- CREDORES DIVERSOS"</f>
        <v>2.1.4.03.00- CREDORES DIVERSOS</v>
      </c>
      <c r="B163" s="10">
        <v>57426310.859999999</v>
      </c>
      <c r="C163" s="10">
        <v>1980051.62</v>
      </c>
      <c r="D163" s="10">
        <v>59406362.479999997</v>
      </c>
    </row>
    <row r="164" spans="1:4" x14ac:dyDescent="0.25">
      <c r="A164" s="2" t="str">
        <f>"2.1.4.03.07- Adiantamento Acionista - Municipio BH"</f>
        <v>2.1.4.03.07- Adiantamento Acionista - Municipio BH</v>
      </c>
      <c r="B164" s="10">
        <v>57426310.859999999</v>
      </c>
      <c r="C164" s="10">
        <v>1980051.62</v>
      </c>
      <c r="D164" s="10">
        <v>59406362.479999997</v>
      </c>
    </row>
    <row r="165" spans="1:4" x14ac:dyDescent="0.25">
      <c r="A165" s="2" t="str">
        <f>"2.1.4.04.00- CAUCAO DE TERCEIROS/LEILAO"</f>
        <v>2.1.4.04.00- CAUCAO DE TERCEIROS/LEILAO</v>
      </c>
      <c r="B165" s="10">
        <v>720487.33</v>
      </c>
      <c r="C165" s="10">
        <v>0</v>
      </c>
      <c r="D165" s="10">
        <v>720487.33</v>
      </c>
    </row>
    <row r="166" spans="1:4" x14ac:dyDescent="0.25">
      <c r="A166" s="2" t="str">
        <f>"2.1.4.04.98- Leilões"</f>
        <v>2.1.4.04.98- Leilões</v>
      </c>
      <c r="B166" s="10">
        <v>554111.25</v>
      </c>
      <c r="C166" s="10">
        <v>0</v>
      </c>
      <c r="D166" s="10">
        <v>554111.25</v>
      </c>
    </row>
    <row r="167" spans="1:4" x14ac:dyDescent="0.25">
      <c r="A167" s="2" t="str">
        <f>"2.1.4.04.99- Caucao de Terceiros"</f>
        <v>2.1.4.04.99- Caucao de Terceiros</v>
      </c>
      <c r="B167" s="10">
        <v>166376.07999999999</v>
      </c>
      <c r="C167" s="10">
        <v>0</v>
      </c>
      <c r="D167" s="10">
        <v>166376.07999999999</v>
      </c>
    </row>
    <row r="168" spans="1:4" x14ac:dyDescent="0.25">
      <c r="A168" s="2" t="str">
        <f>"2.1.6.00.00- OBRIGACOES VINC. A PAGAR-PAMEH"</f>
        <v>2.1.6.00.00- OBRIGACOES VINC. A PAGAR-PAMEH</v>
      </c>
      <c r="B168" s="10">
        <v>48958.27</v>
      </c>
      <c r="C168" s="10">
        <v>4655.55</v>
      </c>
      <c r="D168" s="10">
        <v>53613.82</v>
      </c>
    </row>
    <row r="169" spans="1:4" x14ac:dyDescent="0.25">
      <c r="A169" s="2" t="str">
        <f>"2.1.6.01.00- OBRIGACOES VINC. -PAMEH"</f>
        <v>2.1.6.01.00- OBRIGACOES VINC. -PAMEH</v>
      </c>
      <c r="B169" s="10">
        <v>48958.27</v>
      </c>
      <c r="C169" s="10">
        <v>4655.55</v>
      </c>
      <c r="D169" s="10">
        <v>53613.82</v>
      </c>
    </row>
    <row r="170" spans="1:4" x14ac:dyDescent="0.25">
      <c r="A170" s="2" t="str">
        <f>"2.1.6.01.01- Obrigacoes Vinculadas - PAMEH"</f>
        <v>2.1.6.01.01- Obrigacoes Vinculadas - PAMEH</v>
      </c>
      <c r="B170" s="10">
        <v>48958.27</v>
      </c>
      <c r="C170" s="10">
        <v>4655.55</v>
      </c>
      <c r="D170" s="10">
        <v>53613.82</v>
      </c>
    </row>
    <row r="171" spans="1:4" x14ac:dyDescent="0.25">
      <c r="A171" s="2" t="str">
        <f>"2.2.0.00.00- PASSIVO NAO CIRCULANTE"</f>
        <v>2.2.0.00.00- PASSIVO NAO CIRCULANTE</v>
      </c>
      <c r="B171" s="10">
        <v>46717138.329999998</v>
      </c>
      <c r="C171" s="10">
        <v>-110537.2</v>
      </c>
      <c r="D171" s="10">
        <v>46606601.130000003</v>
      </c>
    </row>
    <row r="172" spans="1:4" x14ac:dyDescent="0.25">
      <c r="A172" s="2" t="str">
        <f>"2.2.4.00.00- OUTRAS OBRIGACOES A LONGO PRAZO"</f>
        <v>2.2.4.00.00- OUTRAS OBRIGACOES A LONGO PRAZO</v>
      </c>
      <c r="B172" s="10">
        <v>44457209.969999999</v>
      </c>
      <c r="C172" s="10">
        <v>0</v>
      </c>
      <c r="D172" s="10">
        <v>44457209.969999999</v>
      </c>
    </row>
    <row r="173" spans="1:4" x14ac:dyDescent="0.25">
      <c r="A173" s="2" t="str">
        <f>"2.2.4.01.00- CREDORES DIVERSOS"</f>
        <v>2.2.4.01.00- CREDORES DIVERSOS</v>
      </c>
      <c r="B173" s="10">
        <v>10868557.66</v>
      </c>
      <c r="C173" s="10">
        <v>0</v>
      </c>
      <c r="D173" s="10">
        <v>10868557.66</v>
      </c>
    </row>
    <row r="174" spans="1:4" x14ac:dyDescent="0.25">
      <c r="A174" s="2" t="str">
        <f>"2.2.4.01.04- Provisão para Contingências Fiscais"</f>
        <v>2.2.4.01.04- Provisão para Contingências Fiscais</v>
      </c>
      <c r="B174" s="10">
        <v>9926702.7200000007</v>
      </c>
      <c r="C174" s="10">
        <v>0</v>
      </c>
      <c r="D174" s="10">
        <v>9926702.7200000007</v>
      </c>
    </row>
    <row r="175" spans="1:4" x14ac:dyDescent="0.25">
      <c r="A175" s="2" t="str">
        <f>"2.2.4.01.05- INSS Segurados"</f>
        <v>2.2.4.01.05- INSS Segurados</v>
      </c>
      <c r="B175" s="10">
        <v>941854.94</v>
      </c>
      <c r="C175" s="10">
        <v>0</v>
      </c>
      <c r="D175" s="10">
        <v>941854.94</v>
      </c>
    </row>
    <row r="176" spans="1:4" x14ac:dyDescent="0.25">
      <c r="A176" s="2" t="str">
        <f>"2.2.4.04.00- ACOES JUDICIAIS E TRABALHISTAS"</f>
        <v>2.2.4.04.00- ACOES JUDICIAIS E TRABALHISTAS</v>
      </c>
      <c r="B176" s="10">
        <v>33588652.310000002</v>
      </c>
      <c r="C176" s="10">
        <v>0</v>
      </c>
      <c r="D176" s="10">
        <v>33588652.310000002</v>
      </c>
    </row>
    <row r="177" spans="1:4" x14ac:dyDescent="0.25">
      <c r="A177" s="2" t="str">
        <f>"2.2.4.04.01- Acoes judiciais"</f>
        <v>2.2.4.04.01- Acoes judiciais</v>
      </c>
      <c r="B177" s="10">
        <v>16494009.210000001</v>
      </c>
      <c r="C177" s="10">
        <v>0</v>
      </c>
      <c r="D177" s="10">
        <v>16494009.210000001</v>
      </c>
    </row>
    <row r="178" spans="1:4" x14ac:dyDescent="0.25">
      <c r="A178" s="2" t="str">
        <f>"2.2.4.04.02- Acoes trabalhistas"</f>
        <v>2.2.4.04.02- Acoes trabalhistas</v>
      </c>
      <c r="B178" s="10">
        <v>17094643.100000001</v>
      </c>
      <c r="C178" s="10">
        <v>0</v>
      </c>
      <c r="D178" s="10">
        <v>17094643.100000001</v>
      </c>
    </row>
    <row r="179" spans="1:4" x14ac:dyDescent="0.25">
      <c r="A179" s="2" t="str">
        <f>"2.2.5.00.00- OBRIGACOES VINC.  AO PAMEH"</f>
        <v>2.2.5.00.00- OBRIGACOES VINC.  AO PAMEH</v>
      </c>
      <c r="B179" s="10">
        <v>2259928.36</v>
      </c>
      <c r="C179" s="10">
        <v>-110537.2</v>
      </c>
      <c r="D179" s="10">
        <v>2149391.16</v>
      </c>
    </row>
    <row r="180" spans="1:4" x14ac:dyDescent="0.25">
      <c r="A180" s="2" t="str">
        <f>"2.2.5.01.00- OBRIGACOES VINC.  AO PAMEH"</f>
        <v>2.2.5.01.00- OBRIGACOES VINC.  AO PAMEH</v>
      </c>
      <c r="B180" s="10">
        <v>2259928.36</v>
      </c>
      <c r="C180" s="10">
        <v>-110537.2</v>
      </c>
      <c r="D180" s="10">
        <v>2149391.16</v>
      </c>
    </row>
    <row r="181" spans="1:4" x14ac:dyDescent="0.25">
      <c r="A181" s="2" t="str">
        <f>"2.2.5.01.01- Resultado Exerc.Anteriores-PAMEH"</f>
        <v>2.2.5.01.01- Resultado Exerc.Anteriores-PAMEH</v>
      </c>
      <c r="B181" s="10">
        <v>3478307.51</v>
      </c>
      <c r="C181" s="10">
        <v>0</v>
      </c>
      <c r="D181" s="10">
        <v>3478307.51</v>
      </c>
    </row>
    <row r="182" spans="1:4" x14ac:dyDescent="0.25">
      <c r="A182" s="2" t="str">
        <f>"2.2.5.01.02- Resultado deste Exercicio-PAMEH"</f>
        <v>2.2.5.01.02- Resultado deste Exercicio-PAMEH</v>
      </c>
      <c r="B182" s="10">
        <v>-1218379.1499999999</v>
      </c>
      <c r="C182" s="10">
        <v>-110537.2</v>
      </c>
      <c r="D182" s="10">
        <v>-1328916.3500000001</v>
      </c>
    </row>
    <row r="183" spans="1:4" x14ac:dyDescent="0.25">
      <c r="A183" s="2" t="str">
        <f>"2.4.0.00.00- PATRIMONIO LIQUIDO"</f>
        <v>2.4.0.00.00- PATRIMONIO LIQUIDO</v>
      </c>
      <c r="B183" s="10">
        <v>-76314423.5</v>
      </c>
      <c r="C183" s="10">
        <v>0</v>
      </c>
      <c r="D183" s="10">
        <v>-76314423.5</v>
      </c>
    </row>
    <row r="184" spans="1:4" x14ac:dyDescent="0.25">
      <c r="A184" s="2" t="str">
        <f>"2.4.1.00.00- CAPITAL SOCIAL"</f>
        <v>2.4.1.00.00- CAPITAL SOCIAL</v>
      </c>
      <c r="B184" s="10">
        <v>67418193.159999996</v>
      </c>
      <c r="C184" s="10">
        <v>0</v>
      </c>
      <c r="D184" s="10">
        <v>67418193.159999996</v>
      </c>
    </row>
    <row r="185" spans="1:4" x14ac:dyDescent="0.25">
      <c r="A185" s="2" t="str">
        <f>"2.4.1.02.00- CAPITAL REALIZADO"</f>
        <v>2.4.1.02.00- CAPITAL REALIZADO</v>
      </c>
      <c r="B185" s="10">
        <v>67418193.159999996</v>
      </c>
      <c r="C185" s="10">
        <v>0</v>
      </c>
      <c r="D185" s="10">
        <v>67418193.159999996</v>
      </c>
    </row>
    <row r="186" spans="1:4" x14ac:dyDescent="0.25">
      <c r="A186" s="2" t="str">
        <f>"2.4.1.02.01- Capital Subscrito"</f>
        <v>2.4.1.02.01- Capital Subscrito</v>
      </c>
      <c r="B186" s="10">
        <v>75000000</v>
      </c>
      <c r="C186" s="10">
        <v>0</v>
      </c>
      <c r="D186" s="10">
        <v>75000000</v>
      </c>
    </row>
    <row r="187" spans="1:4" x14ac:dyDescent="0.25">
      <c r="A187" s="2" t="str">
        <f>"2.4.1.02.04- Capital a Realizar"</f>
        <v>2.4.1.02.04- Capital a Realizar</v>
      </c>
      <c r="B187" s="10">
        <v>-7581806.8399999999</v>
      </c>
      <c r="C187" s="10">
        <v>0</v>
      </c>
      <c r="D187" s="10">
        <v>-7581806.8399999999</v>
      </c>
    </row>
    <row r="188" spans="1:4" x14ac:dyDescent="0.25">
      <c r="A188" s="2" t="str">
        <f>"2.4.3.00.00- RESULTADOS ACUMULADOS"</f>
        <v>2.4.3.00.00- RESULTADOS ACUMULADOS</v>
      </c>
      <c r="B188" s="10">
        <v>-143732616.66</v>
      </c>
      <c r="C188" s="10">
        <v>0</v>
      </c>
      <c r="D188" s="10">
        <v>-143732616.66</v>
      </c>
    </row>
    <row r="189" spans="1:4" x14ac:dyDescent="0.25">
      <c r="A189" s="2" t="str">
        <f>"2.4.3.01.00- LUCROS/PREJUIZOS ACUMULADOS"</f>
        <v>2.4.3.01.00- LUCROS/PREJUIZOS ACUMULADOS</v>
      </c>
      <c r="B189" s="10">
        <v>-143732616.66</v>
      </c>
      <c r="C189" s="10">
        <v>0</v>
      </c>
      <c r="D189" s="10">
        <v>-143732616.66</v>
      </c>
    </row>
    <row r="190" spans="1:4" x14ac:dyDescent="0.25">
      <c r="A190" s="2" t="str">
        <f>"2.4.3.01.01- Resultados de Exerc. Anteriores"</f>
        <v>2.4.3.01.01- Resultados de Exerc. Anteriores</v>
      </c>
      <c r="B190" s="10">
        <v>-144079394.25</v>
      </c>
      <c r="C190" s="10">
        <v>0</v>
      </c>
      <c r="D190" s="10">
        <v>-144079394.25</v>
      </c>
    </row>
    <row r="191" spans="1:4" x14ac:dyDescent="0.25">
      <c r="A191" s="2" t="str">
        <f>"2.4.3.01.03- Ajuste do Exercicio Anterior"</f>
        <v>2.4.3.01.03- Ajuste do Exercicio Anterior</v>
      </c>
      <c r="B191" s="10">
        <v>346777.59</v>
      </c>
      <c r="C191" s="10">
        <v>0</v>
      </c>
      <c r="D191" s="10">
        <v>346777.59</v>
      </c>
    </row>
    <row r="192" spans="1:4" x14ac:dyDescent="0.25">
      <c r="A192" s="2" t="str">
        <f>""</f>
        <v/>
      </c>
      <c r="B192" s="3" t="str">
        <f>""</f>
        <v/>
      </c>
      <c r="C192" s="3" t="str">
        <f>""</f>
        <v/>
      </c>
      <c r="D192" s="3" t="str">
        <f>""</f>
        <v/>
      </c>
    </row>
    <row r="193" spans="1:4" x14ac:dyDescent="0.25">
      <c r="A193" s="2" t="str">
        <f>""</f>
        <v/>
      </c>
      <c r="B193" s="3" t="str">
        <f>""</f>
        <v/>
      </c>
      <c r="C193" s="3" t="str">
        <f>""</f>
        <v/>
      </c>
      <c r="D193" s="3" t="str">
        <f>""</f>
        <v/>
      </c>
    </row>
    <row r="194" spans="1:4" x14ac:dyDescent="0.25">
      <c r="A194" s="2" t="str">
        <f>""</f>
        <v/>
      </c>
      <c r="B194" s="3" t="str">
        <f>""</f>
        <v/>
      </c>
      <c r="C194" s="3" t="str">
        <f>""</f>
        <v/>
      </c>
      <c r="D194" s="3" t="str">
        <f>""</f>
        <v/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"DESPESAS"</f>
        <v>DESPESAS</v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"3.0.0.00.00- DESPESAS"</f>
        <v>3.0.0.00.00- DESPESAS</v>
      </c>
      <c r="B200" s="10">
        <v>139565961.65000001</v>
      </c>
      <c r="C200" s="10">
        <v>13909969.84</v>
      </c>
      <c r="D200" s="10">
        <v>153475931.49000001</v>
      </c>
    </row>
    <row r="201" spans="1:4" x14ac:dyDescent="0.25">
      <c r="A201" s="2" t="str">
        <f>"3.1.0.00.00- DESPESAS OPERACIONAIS"</f>
        <v>3.1.0.00.00- DESPESAS OPERACIONAIS</v>
      </c>
      <c r="B201" s="10">
        <v>139565961.65000001</v>
      </c>
      <c r="C201" s="10">
        <v>13909969.84</v>
      </c>
      <c r="D201" s="10">
        <v>153475931.49000001</v>
      </c>
    </row>
    <row r="202" spans="1:4" x14ac:dyDescent="0.25">
      <c r="A202" s="2" t="str">
        <f>"3.1.1.00.00- SALARIOS ADICIONAIS E HONORARIOS"</f>
        <v>3.1.1.00.00- SALARIOS ADICIONAIS E HONORARIOS</v>
      </c>
      <c r="B202" s="10">
        <v>74108088.069999993</v>
      </c>
      <c r="C202" s="10">
        <v>7248647.3200000003</v>
      </c>
      <c r="D202" s="10">
        <v>81356735.390000001</v>
      </c>
    </row>
    <row r="203" spans="1:4" x14ac:dyDescent="0.25">
      <c r="A203" s="2" t="str">
        <f>"3.1.1.00.01- Honorarios diretoria"</f>
        <v>3.1.1.00.01- Honorarios diretoria</v>
      </c>
      <c r="B203" s="10">
        <v>836648.13</v>
      </c>
      <c r="C203" s="10">
        <v>98303.34</v>
      </c>
      <c r="D203" s="10">
        <v>934951.47</v>
      </c>
    </row>
    <row r="204" spans="1:4" x14ac:dyDescent="0.25">
      <c r="A204" s="2" t="str">
        <f>"3.1.1.00.02- Honorarios conselho fiscal"</f>
        <v>3.1.1.00.02- Honorarios conselho fiscal</v>
      </c>
      <c r="B204" s="10">
        <v>51344.5</v>
      </c>
      <c r="C204" s="10">
        <v>5311.5</v>
      </c>
      <c r="D204" s="10">
        <v>56656</v>
      </c>
    </row>
    <row r="205" spans="1:4" x14ac:dyDescent="0.25">
      <c r="A205" s="2" t="str">
        <f>"3.1.1.00.03- Honorarios cons. administracao"</f>
        <v>3.1.1.00.03- Honorarios cons. administracao</v>
      </c>
      <c r="B205" s="10">
        <v>82897.94</v>
      </c>
      <c r="C205" s="10">
        <v>6451.47</v>
      </c>
      <c r="D205" s="10">
        <v>89349.41</v>
      </c>
    </row>
    <row r="206" spans="1:4" x14ac:dyDescent="0.25">
      <c r="A206" s="2" t="str">
        <f>"3.1.1.00.04- Salarios e adicionais"</f>
        <v>3.1.1.00.04- Salarios e adicionais</v>
      </c>
      <c r="B206" s="10">
        <v>56794441.82</v>
      </c>
      <c r="C206" s="10">
        <v>5970490.4400000004</v>
      </c>
      <c r="D206" s="10">
        <v>62764932.259999998</v>
      </c>
    </row>
    <row r="207" spans="1:4" x14ac:dyDescent="0.25">
      <c r="A207" s="2" t="str">
        <f>"3.1.1.00.05- Ferias e abono pecuniario"</f>
        <v>3.1.1.00.05- Ferias e abono pecuniario</v>
      </c>
      <c r="B207" s="10">
        <v>7352059.6799999997</v>
      </c>
      <c r="C207" s="10">
        <v>663326.9</v>
      </c>
      <c r="D207" s="10">
        <v>8015386.5800000001</v>
      </c>
    </row>
    <row r="208" spans="1:4" x14ac:dyDescent="0.25">
      <c r="A208" s="2" t="str">
        <f>"3.1.1.00.06- Decimo terceiro salario"</f>
        <v>3.1.1.00.06- Decimo terceiro salario</v>
      </c>
      <c r="B208" s="10">
        <v>4880779.17</v>
      </c>
      <c r="C208" s="10">
        <v>483675.27</v>
      </c>
      <c r="D208" s="10">
        <v>5364454.4400000004</v>
      </c>
    </row>
    <row r="209" spans="1:4" x14ac:dyDescent="0.25">
      <c r="A209" s="2" t="str">
        <f>"3.1.1.00.07- Indenizacoes trabalhistas"</f>
        <v>3.1.1.00.07- Indenizacoes trabalhistas</v>
      </c>
      <c r="B209" s="10">
        <v>16500.36</v>
      </c>
      <c r="C209" s="10">
        <v>0</v>
      </c>
      <c r="D209" s="10">
        <v>16500.36</v>
      </c>
    </row>
    <row r="210" spans="1:4" x14ac:dyDescent="0.25">
      <c r="A210" s="2" t="str">
        <f>"3.1.1.00.08- Bolsas de estagiario"</f>
        <v>3.1.1.00.08- Bolsas de estagiario</v>
      </c>
      <c r="B210" s="10">
        <v>160336.67000000001</v>
      </c>
      <c r="C210" s="10">
        <v>21088.400000000001</v>
      </c>
      <c r="D210" s="10">
        <v>181425.07</v>
      </c>
    </row>
    <row r="211" spans="1:4" x14ac:dyDescent="0.25">
      <c r="A211" s="2" t="str">
        <f>"3.1.1.00.10- Indenizações trabalhistas - ACT"</f>
        <v>3.1.1.00.10- Indenizações trabalhistas - ACT</v>
      </c>
      <c r="B211" s="10">
        <v>3933079.8</v>
      </c>
      <c r="C211" s="10">
        <v>0</v>
      </c>
      <c r="D211" s="10">
        <v>3933079.8</v>
      </c>
    </row>
    <row r="212" spans="1:4" x14ac:dyDescent="0.25">
      <c r="A212" s="2" t="str">
        <f>"3.1.2.01.00- ENCARGOS SOCIAIS"</f>
        <v>3.1.2.01.00- ENCARGOS SOCIAIS</v>
      </c>
      <c r="B212" s="10">
        <v>25150263.559999999</v>
      </c>
      <c r="C212" s="10">
        <v>2581022.67</v>
      </c>
      <c r="D212" s="10">
        <v>27731286.23</v>
      </c>
    </row>
    <row r="213" spans="1:4" x14ac:dyDescent="0.25">
      <c r="A213" s="2" t="str">
        <f>"3.1.2.01.01- INSS"</f>
        <v>3.1.2.01.01- INSS</v>
      </c>
      <c r="B213" s="10">
        <v>19566661.129999999</v>
      </c>
      <c r="C213" s="10">
        <v>2008547.72</v>
      </c>
      <c r="D213" s="10">
        <v>21575208.850000001</v>
      </c>
    </row>
    <row r="214" spans="1:4" x14ac:dyDescent="0.25">
      <c r="A214" s="2" t="str">
        <f>"3.1.2.01.02- FGTS"</f>
        <v>3.1.2.01.02- FGTS</v>
      </c>
      <c r="B214" s="10">
        <v>5583602.4299999997</v>
      </c>
      <c r="C214" s="10">
        <v>572474.94999999995</v>
      </c>
      <c r="D214" s="10">
        <v>6156077.3799999999</v>
      </c>
    </row>
    <row r="215" spans="1:4" x14ac:dyDescent="0.25">
      <c r="A215" s="2" t="str">
        <f>"3.1.2.02.00- OUTRAS DESPESAS COM PESSOAL"</f>
        <v>3.1.2.02.00- OUTRAS DESPESAS COM PESSOAL</v>
      </c>
      <c r="B215" s="10">
        <v>12459230.48</v>
      </c>
      <c r="C215" s="10">
        <v>1170520</v>
      </c>
      <c r="D215" s="10">
        <v>13629750.48</v>
      </c>
    </row>
    <row r="216" spans="1:4" x14ac:dyDescent="0.25">
      <c r="A216" s="2" t="str">
        <f>"3.1.2.02.01- Seguros de Vida"</f>
        <v>3.1.2.02.01- Seguros de Vida</v>
      </c>
      <c r="B216" s="10">
        <v>64302.239999999998</v>
      </c>
      <c r="C216" s="10">
        <v>7066.47</v>
      </c>
      <c r="D216" s="10">
        <v>71368.710000000006</v>
      </c>
    </row>
    <row r="217" spans="1:4" x14ac:dyDescent="0.25">
      <c r="A217" s="2" t="str">
        <f>"3.1.2.02.02- Ass. Medica Odontologica"</f>
        <v>3.1.2.02.02- Ass. Medica Odontologica</v>
      </c>
      <c r="B217" s="10">
        <v>3532066.05</v>
      </c>
      <c r="C217" s="10">
        <v>339805.38</v>
      </c>
      <c r="D217" s="10">
        <v>3871871.43</v>
      </c>
    </row>
    <row r="218" spans="1:4" x14ac:dyDescent="0.25">
      <c r="A218" s="2" t="str">
        <f>"3.1.2.02.03- Vale Transporte"</f>
        <v>3.1.2.02.03- Vale Transporte</v>
      </c>
      <c r="B218" s="10">
        <v>881849.01</v>
      </c>
      <c r="C218" s="10">
        <v>58064.45</v>
      </c>
      <c r="D218" s="10">
        <v>939913.46</v>
      </c>
    </row>
    <row r="219" spans="1:4" x14ac:dyDescent="0.25">
      <c r="A219" s="2" t="str">
        <f>"3.1.2.02.04- Vale Refeicao/Alimentacao"</f>
        <v>3.1.2.02.04- Vale Refeicao/Alimentacao</v>
      </c>
      <c r="B219" s="10">
        <v>7658817.2400000002</v>
      </c>
      <c r="C219" s="10">
        <v>731366.25</v>
      </c>
      <c r="D219" s="10">
        <v>8390183.4900000002</v>
      </c>
    </row>
    <row r="220" spans="1:4" x14ac:dyDescent="0.25">
      <c r="A220" s="2" t="str">
        <f>"3.1.2.02.05- Compl. Auxilio Doenca"</f>
        <v>3.1.2.02.05- Compl. Auxilio Doenca</v>
      </c>
      <c r="B220" s="10">
        <v>62205.43</v>
      </c>
      <c r="C220" s="10">
        <v>12972.06</v>
      </c>
      <c r="D220" s="10">
        <v>75177.490000000005</v>
      </c>
    </row>
    <row r="221" spans="1:4" x14ac:dyDescent="0.25">
      <c r="A221" s="2" t="str">
        <f>"3.1.2.02.06- Cursos e Treinamentos"</f>
        <v>3.1.2.02.06- Cursos e Treinamentos</v>
      </c>
      <c r="B221" s="10">
        <v>48954.3</v>
      </c>
      <c r="C221" s="10">
        <v>745</v>
      </c>
      <c r="D221" s="10">
        <v>49699.3</v>
      </c>
    </row>
    <row r="222" spans="1:4" x14ac:dyDescent="0.25">
      <c r="A222" s="2" t="str">
        <f>"3.1.2.02.07- Auxilio Creche"</f>
        <v>3.1.2.02.07- Auxilio Creche</v>
      </c>
      <c r="B222" s="10">
        <v>211036.21</v>
      </c>
      <c r="C222" s="10">
        <v>20500.39</v>
      </c>
      <c r="D222" s="10">
        <v>231536.6</v>
      </c>
    </row>
    <row r="223" spans="1:4" x14ac:dyDescent="0.25">
      <c r="A223" s="2" t="str">
        <f>"3.1.3.00.00- MATERIAIS"</f>
        <v>3.1.3.00.00- MATERIAIS</v>
      </c>
      <c r="B223" s="10">
        <v>860032.8</v>
      </c>
      <c r="C223" s="10">
        <v>109382.08</v>
      </c>
      <c r="D223" s="10">
        <v>969414.88</v>
      </c>
    </row>
    <row r="224" spans="1:4" x14ac:dyDescent="0.25">
      <c r="A224" s="2" t="str">
        <f>"3.1.3.00.01- Bens de natureza permanente"</f>
        <v>3.1.3.00.01- Bens de natureza permanente</v>
      </c>
      <c r="B224" s="10">
        <v>11563.48</v>
      </c>
      <c r="C224" s="10">
        <v>0</v>
      </c>
      <c r="D224" s="10">
        <v>11563.48</v>
      </c>
    </row>
    <row r="225" spans="1:4" x14ac:dyDescent="0.25">
      <c r="A225" s="2" t="str">
        <f>"3.1.3.00.02- Lampadas e transformadores"</f>
        <v>3.1.3.00.02- Lampadas e transformadores</v>
      </c>
      <c r="B225" s="10">
        <v>27303.7</v>
      </c>
      <c r="C225" s="10">
        <v>0</v>
      </c>
      <c r="D225" s="10">
        <v>27303.7</v>
      </c>
    </row>
    <row r="226" spans="1:4" x14ac:dyDescent="0.25">
      <c r="A226" s="2" t="str">
        <f>"3.1.3.00.04- Fios e cabos"</f>
        <v>3.1.3.00.04- Fios e cabos</v>
      </c>
      <c r="B226" s="10">
        <v>0</v>
      </c>
      <c r="C226" s="10">
        <v>41996</v>
      </c>
      <c r="D226" s="10">
        <v>41996</v>
      </c>
    </row>
    <row r="227" spans="1:4" x14ac:dyDescent="0.25">
      <c r="A227" s="2" t="str">
        <f>"3.1.3.00.05- Placas/acessorios/mat.fixacao"</f>
        <v>3.1.3.00.05- Placas/acessorios/mat.fixacao</v>
      </c>
      <c r="B227" s="10">
        <v>605</v>
      </c>
      <c r="C227" s="10">
        <v>0</v>
      </c>
      <c r="D227" s="10">
        <v>605</v>
      </c>
    </row>
    <row r="228" spans="1:4" x14ac:dyDescent="0.25">
      <c r="A228" s="2" t="str">
        <f>"3.1.3.00.08- Material seguranca e uniformes"</f>
        <v>3.1.3.00.08- Material seguranca e uniformes</v>
      </c>
      <c r="B228" s="10">
        <v>6560.7</v>
      </c>
      <c r="C228" s="10">
        <v>614.88</v>
      </c>
      <c r="D228" s="10">
        <v>7175.58</v>
      </c>
    </row>
    <row r="229" spans="1:4" x14ac:dyDescent="0.25">
      <c r="A229" s="2" t="str">
        <f>"3.1.3.00.09- Material limp/conserv/copa/cozin"</f>
        <v>3.1.3.00.09- Material limp/conserv/copa/cozin</v>
      </c>
      <c r="B229" s="10">
        <v>139959.76</v>
      </c>
      <c r="C229" s="10">
        <v>15385.93</v>
      </c>
      <c r="D229" s="10">
        <v>155345.69</v>
      </c>
    </row>
    <row r="230" spans="1:4" x14ac:dyDescent="0.25">
      <c r="A230" s="2" t="str">
        <f>"3.1.3.00.10- Impressos e material de escritorio"</f>
        <v>3.1.3.00.10- Impressos e material de escritorio</v>
      </c>
      <c r="B230" s="10">
        <v>136392.03</v>
      </c>
      <c r="C230" s="10">
        <v>13260.69</v>
      </c>
      <c r="D230" s="10">
        <v>149652.72</v>
      </c>
    </row>
    <row r="231" spans="1:4" x14ac:dyDescent="0.25">
      <c r="A231" s="2" t="str">
        <f>"3.1.3.00.11- Materiais manut. inst. prediais"</f>
        <v>3.1.3.00.11- Materiais manut. inst. prediais</v>
      </c>
      <c r="B231" s="10">
        <v>234490.51</v>
      </c>
      <c r="C231" s="10">
        <v>33075.300000000003</v>
      </c>
      <c r="D231" s="10">
        <v>267565.81</v>
      </c>
    </row>
    <row r="232" spans="1:4" x14ac:dyDescent="0.25">
      <c r="A232" s="2" t="str">
        <f>"3.1.3.00.12- Carnes estacionamento rotativo"</f>
        <v>3.1.3.00.12- Carnes estacionamento rotativo</v>
      </c>
      <c r="B232" s="10">
        <v>240251.21</v>
      </c>
      <c r="C232" s="10">
        <v>68.459999999999994</v>
      </c>
      <c r="D232" s="10">
        <v>240319.67</v>
      </c>
    </row>
    <row r="233" spans="1:4" x14ac:dyDescent="0.25">
      <c r="A233" s="2" t="str">
        <f>"3.1.3.00.15- Materiais e supriment informatic"</f>
        <v>3.1.3.00.15- Materiais e supriment informatic</v>
      </c>
      <c r="B233" s="10">
        <v>29764.34</v>
      </c>
      <c r="C233" s="10">
        <v>1559.82</v>
      </c>
      <c r="D233" s="10">
        <v>31324.16</v>
      </c>
    </row>
    <row r="234" spans="1:4" x14ac:dyDescent="0.25">
      <c r="A234" s="2" t="str">
        <f>"3.1.3.00.17- Comb./lubrificantes"</f>
        <v>3.1.3.00.17- Comb./lubrificantes</v>
      </c>
      <c r="B234" s="10">
        <v>2207.25</v>
      </c>
      <c r="C234" s="10">
        <v>0</v>
      </c>
      <c r="D234" s="10">
        <v>2207.25</v>
      </c>
    </row>
    <row r="235" spans="1:4" x14ac:dyDescent="0.25">
      <c r="A235" s="2" t="str">
        <f>"3.1.3.00.18- Livros/jornais/rev./publicacoes"</f>
        <v>3.1.3.00.18- Livros/jornais/rev./publicacoes</v>
      </c>
      <c r="B235" s="10">
        <v>1447.2</v>
      </c>
      <c r="C235" s="10">
        <v>2894</v>
      </c>
      <c r="D235" s="10">
        <v>4341.2</v>
      </c>
    </row>
    <row r="236" spans="1:4" x14ac:dyDescent="0.25">
      <c r="A236" s="2" t="str">
        <f>"3.1.3.00.99- Outros materiais"</f>
        <v>3.1.3.00.99- Outros materiais</v>
      </c>
      <c r="B236" s="10">
        <v>29487.62</v>
      </c>
      <c r="C236" s="10">
        <v>527</v>
      </c>
      <c r="D236" s="10">
        <v>30014.62</v>
      </c>
    </row>
    <row r="237" spans="1:4" x14ac:dyDescent="0.25">
      <c r="A237" s="2" t="str">
        <f>"3.1.4.00.00- SERVICOS PRESTADOS POR TERCEIROS"</f>
        <v>3.1.4.00.00- SERVICOS PRESTADOS POR TERCEIROS</v>
      </c>
      <c r="B237" s="10">
        <v>19332531.600000001</v>
      </c>
      <c r="C237" s="10">
        <v>2210439.85</v>
      </c>
      <c r="D237" s="10">
        <v>21542971.449999999</v>
      </c>
    </row>
    <row r="238" spans="1:4" x14ac:dyDescent="0.25">
      <c r="A238" s="2" t="str">
        <f>"3.1.4.00.01- Consultoria"</f>
        <v>3.1.4.00.01- Consultoria</v>
      </c>
      <c r="B238" s="10">
        <v>7500</v>
      </c>
      <c r="C238" s="10">
        <v>0</v>
      </c>
      <c r="D238" s="10">
        <v>7500</v>
      </c>
    </row>
    <row r="239" spans="1:4" x14ac:dyDescent="0.25">
      <c r="A239" s="2" t="str">
        <f>"3.1.4.00.03- Locacao de equipamentos"</f>
        <v>3.1.4.00.03- Locacao de equipamentos</v>
      </c>
      <c r="B239" s="10">
        <v>63252</v>
      </c>
      <c r="C239" s="10">
        <v>6325.2</v>
      </c>
      <c r="D239" s="10">
        <v>69577.2</v>
      </c>
    </row>
    <row r="240" spans="1:4" x14ac:dyDescent="0.25">
      <c r="A240" s="2" t="str">
        <f>"3.1.4.00.08- Servicos de auditoria"</f>
        <v>3.1.4.00.08- Servicos de auditoria</v>
      </c>
      <c r="B240" s="10">
        <v>53779.96</v>
      </c>
      <c r="C240" s="10">
        <v>0</v>
      </c>
      <c r="D240" s="10">
        <v>53779.96</v>
      </c>
    </row>
    <row r="241" spans="1:4" x14ac:dyDescent="0.25">
      <c r="A241" s="2" t="str">
        <f>"3.1.4.00.10- Mao de obra contratada"</f>
        <v>3.1.4.00.10- Mao de obra contratada</v>
      </c>
      <c r="B241" s="10">
        <v>632205.21</v>
      </c>
      <c r="C241" s="10">
        <v>63047.89</v>
      </c>
      <c r="D241" s="10">
        <v>695253.1</v>
      </c>
    </row>
    <row r="242" spans="1:4" x14ac:dyDescent="0.25">
      <c r="A242" s="2" t="str">
        <f>"3.1.4.00.12- Reprod. Xerografica/Heliografica"</f>
        <v>3.1.4.00.12- Reprod. Xerografica/Heliografica</v>
      </c>
      <c r="B242" s="10">
        <v>-2.75</v>
      </c>
      <c r="C242" s="10">
        <v>-2.75</v>
      </c>
      <c r="D242" s="10">
        <v>-5.5</v>
      </c>
    </row>
    <row r="243" spans="1:4" x14ac:dyDescent="0.25">
      <c r="A243" s="2" t="str">
        <f>"3.1.4.00.13- Publicidade e divulgacao"</f>
        <v>3.1.4.00.13- Publicidade e divulgacao</v>
      </c>
      <c r="B243" s="10">
        <v>119273.95</v>
      </c>
      <c r="C243" s="10">
        <v>12929</v>
      </c>
      <c r="D243" s="10">
        <v>132202.95000000001</v>
      </c>
    </row>
    <row r="244" spans="1:4" x14ac:dyDescent="0.25">
      <c r="A244" s="2" t="str">
        <f>"3.1.4.00.14- Informatica-serv. e/ou locacao"</f>
        <v>3.1.4.00.14- Informatica-serv. e/ou locacao</v>
      </c>
      <c r="B244" s="10">
        <v>1320442.5900000001</v>
      </c>
      <c r="C244" s="10">
        <v>245802.78</v>
      </c>
      <c r="D244" s="10">
        <v>1566245.37</v>
      </c>
    </row>
    <row r="245" spans="1:4" x14ac:dyDescent="0.25">
      <c r="A245" s="2" t="str">
        <f>"3.1.4.00.15- Outros serv. prestados - PF"</f>
        <v>3.1.4.00.15- Outros serv. prestados - PF</v>
      </c>
      <c r="B245" s="10">
        <v>86744.94</v>
      </c>
      <c r="C245" s="10">
        <v>9090.16</v>
      </c>
      <c r="D245" s="10">
        <v>95835.1</v>
      </c>
    </row>
    <row r="246" spans="1:4" x14ac:dyDescent="0.25">
      <c r="A246" s="2" t="str">
        <f>"3.1.4.00.16- Outros serv. Prestados - PJ"</f>
        <v>3.1.4.00.16- Outros serv. Prestados - PJ</v>
      </c>
      <c r="B246" s="10">
        <v>266603.34999999998</v>
      </c>
      <c r="C246" s="10">
        <v>36049.879999999997</v>
      </c>
      <c r="D246" s="10">
        <v>302653.23</v>
      </c>
    </row>
    <row r="247" spans="1:4" x14ac:dyDescent="0.25">
      <c r="A247" s="2" t="str">
        <f>"3.1.4.00.17- Servicos postais"</f>
        <v>3.1.4.00.17- Servicos postais</v>
      </c>
      <c r="B247" s="10">
        <v>49922.59</v>
      </c>
      <c r="C247" s="10">
        <v>6870.13</v>
      </c>
      <c r="D247" s="10">
        <v>56792.72</v>
      </c>
    </row>
    <row r="248" spans="1:4" x14ac:dyDescent="0.25">
      <c r="A248" s="2" t="str">
        <f>"3.1.4.00.18- INSS s/servicos de terceiros"</f>
        <v>3.1.4.00.18- INSS s/servicos de terceiros</v>
      </c>
      <c r="B248" s="10">
        <v>23843.93</v>
      </c>
      <c r="C248" s="10">
        <v>4243.2700000000004</v>
      </c>
      <c r="D248" s="10">
        <v>28087.200000000001</v>
      </c>
    </row>
    <row r="249" spans="1:4" x14ac:dyDescent="0.25">
      <c r="A249" s="2" t="str">
        <f>"3.1.4.00.19- Manut. imoveis/instal/equip.oper"</f>
        <v>3.1.4.00.19- Manut. imoveis/instal/equip.oper</v>
      </c>
      <c r="B249" s="10">
        <v>432675.46</v>
      </c>
      <c r="C249" s="10">
        <v>33257.379999999997</v>
      </c>
      <c r="D249" s="10">
        <v>465932.84</v>
      </c>
    </row>
    <row r="250" spans="1:4" x14ac:dyDescent="0.25">
      <c r="A250" s="2" t="str">
        <f>"3.1.4.00.21- Manut. moveis e equip. Escritorio"</f>
        <v>3.1.4.00.21- Manut. moveis e equip. Escritorio</v>
      </c>
      <c r="B250" s="10">
        <v>490</v>
      </c>
      <c r="C250" s="10">
        <v>0</v>
      </c>
      <c r="D250" s="10">
        <v>490</v>
      </c>
    </row>
    <row r="251" spans="1:4" x14ac:dyDescent="0.25">
      <c r="A251" s="2" t="str">
        <f>"3.1.4.00.22- Consultoria tec.Operacional"</f>
        <v>3.1.4.00.22- Consultoria tec.Operacional</v>
      </c>
      <c r="B251" s="10">
        <v>2800</v>
      </c>
      <c r="C251" s="10">
        <v>0</v>
      </c>
      <c r="D251" s="10">
        <v>2800</v>
      </c>
    </row>
    <row r="252" spans="1:4" x14ac:dyDescent="0.25">
      <c r="A252" s="2" t="str">
        <f>"3.1.4.00.24- Loc.serv.mensageiro"</f>
        <v>3.1.4.00.24- Loc.serv.mensageiro</v>
      </c>
      <c r="B252" s="10">
        <v>33937.339999999997</v>
      </c>
      <c r="C252" s="10">
        <v>2423.36</v>
      </c>
      <c r="D252" s="10">
        <v>36360.699999999997</v>
      </c>
    </row>
    <row r="253" spans="1:4" x14ac:dyDescent="0.25">
      <c r="A253" s="2" t="str">
        <f>"3.1.4.00.26- Serv.limp.conserv."</f>
        <v>3.1.4.00.26- Serv.limp.conserv.</v>
      </c>
      <c r="B253" s="10">
        <v>15174429.300000001</v>
      </c>
      <c r="C253" s="10">
        <v>1445102.71</v>
      </c>
      <c r="D253" s="10">
        <v>16619532.01</v>
      </c>
    </row>
    <row r="254" spans="1:4" x14ac:dyDescent="0.25">
      <c r="A254" s="2" t="str">
        <f>"3.1.4.00.29- Servicos pesquisa"</f>
        <v>3.1.4.00.29- Servicos pesquisa</v>
      </c>
      <c r="B254" s="10">
        <v>26688.53</v>
      </c>
      <c r="C254" s="10">
        <v>25788.53</v>
      </c>
      <c r="D254" s="10">
        <v>52477.06</v>
      </c>
    </row>
    <row r="255" spans="1:4" x14ac:dyDescent="0.25">
      <c r="A255" s="2" t="str">
        <f>"3.1.4.00.32- Vale transporte"</f>
        <v>3.1.4.00.32- Vale transporte</v>
      </c>
      <c r="B255" s="10">
        <v>5732.05</v>
      </c>
      <c r="C255" s="10">
        <v>0</v>
      </c>
      <c r="D255" s="10">
        <v>5732.05</v>
      </c>
    </row>
    <row r="256" spans="1:4" x14ac:dyDescent="0.25">
      <c r="A256" s="2" t="str">
        <f>"3.1.4.00.34- Comissao s/venda rotativo"</f>
        <v>3.1.4.00.34- Comissao s/venda rotativo</v>
      </c>
      <c r="B256" s="10">
        <v>520840.14</v>
      </c>
      <c r="C256" s="10">
        <v>10338.040000000001</v>
      </c>
      <c r="D256" s="10">
        <v>531178.18000000005</v>
      </c>
    </row>
    <row r="257" spans="1:4" x14ac:dyDescent="0.25">
      <c r="A257" s="2" t="str">
        <f>"3.1.4.00.36- (-) Desconto ISSQN conf Lei 9145 serv. P"</f>
        <v>3.1.4.00.36- (-) Desconto ISSQN conf Lei 9145 serv. P</v>
      </c>
      <c r="B257" s="10">
        <v>-646534.48</v>
      </c>
      <c r="C257" s="10">
        <v>-82672.19</v>
      </c>
      <c r="D257" s="10">
        <v>-729206.67</v>
      </c>
    </row>
    <row r="258" spans="1:4" x14ac:dyDescent="0.25">
      <c r="A258" s="2" t="str">
        <f>"3.1.4.00.39- Convênio Guarda Municipal"</f>
        <v>3.1.4.00.39- Convênio Guarda Municipal</v>
      </c>
      <c r="B258" s="10">
        <v>1143986.07</v>
      </c>
      <c r="C258" s="10">
        <v>370630.08</v>
      </c>
      <c r="D258" s="10">
        <v>1514616.15</v>
      </c>
    </row>
    <row r="259" spans="1:4" x14ac:dyDescent="0.25">
      <c r="A259" s="2" t="str">
        <f>"3.1.4.00.40- Servicos Medicos Pameh PF"</f>
        <v>3.1.4.00.40- Servicos Medicos Pameh PF</v>
      </c>
      <c r="B259" s="10">
        <v>13921.42</v>
      </c>
      <c r="C259" s="10">
        <v>21216.38</v>
      </c>
      <c r="D259" s="10">
        <v>35137.800000000003</v>
      </c>
    </row>
    <row r="260" spans="1:4" x14ac:dyDescent="0.25">
      <c r="A260" s="2" t="str">
        <f>"3.1.5.00.00- TARIFAS PUBLICAS"</f>
        <v>3.1.5.00.00- TARIFAS PUBLICAS</v>
      </c>
      <c r="B260" s="10">
        <v>1016352.19</v>
      </c>
      <c r="C260" s="10">
        <v>93759.74</v>
      </c>
      <c r="D260" s="10">
        <v>1110111.93</v>
      </c>
    </row>
    <row r="261" spans="1:4" x14ac:dyDescent="0.25">
      <c r="A261" s="2" t="str">
        <f>"3.1.5.00.02- Energia eletrica"</f>
        <v>3.1.5.00.02- Energia eletrica</v>
      </c>
      <c r="B261" s="10">
        <v>734830.58</v>
      </c>
      <c r="C261" s="10">
        <v>66333.89</v>
      </c>
      <c r="D261" s="10">
        <v>801164.47</v>
      </c>
    </row>
    <row r="262" spans="1:4" x14ac:dyDescent="0.25">
      <c r="A262" s="2" t="str">
        <f>"3.1.5.00.03- Telefone"</f>
        <v>3.1.5.00.03- Telefone</v>
      </c>
      <c r="B262" s="10">
        <v>281521.61</v>
      </c>
      <c r="C262" s="10">
        <v>27425.85</v>
      </c>
      <c r="D262" s="10">
        <v>308947.46000000002</v>
      </c>
    </row>
    <row r="263" spans="1:4" x14ac:dyDescent="0.25">
      <c r="A263" s="2" t="str">
        <f>"3.1.6.00.00- DESPESAS TRIBUTARIAS"</f>
        <v>3.1.6.00.00- DESPESAS TRIBUTARIAS</v>
      </c>
      <c r="B263" s="10">
        <v>2493497.85</v>
      </c>
      <c r="C263" s="10">
        <v>225468.36</v>
      </c>
      <c r="D263" s="10">
        <v>2718966.21</v>
      </c>
    </row>
    <row r="264" spans="1:4" x14ac:dyDescent="0.25">
      <c r="A264" s="2" t="str">
        <f>"3.1.6.00.01- Taxas legais"</f>
        <v>3.1.6.00.01- Taxas legais</v>
      </c>
      <c r="B264" s="10">
        <v>23430.28</v>
      </c>
      <c r="C264" s="10">
        <v>301.48</v>
      </c>
      <c r="D264" s="10">
        <v>23731.759999999998</v>
      </c>
    </row>
    <row r="265" spans="1:4" x14ac:dyDescent="0.25">
      <c r="A265" s="2" t="str">
        <f>"3.1.6.00.03- IOF"</f>
        <v>3.1.6.00.03- IOF</v>
      </c>
      <c r="B265" s="10">
        <v>1178</v>
      </c>
      <c r="C265" s="10">
        <v>0</v>
      </c>
      <c r="D265" s="10">
        <v>1178</v>
      </c>
    </row>
    <row r="266" spans="1:4" x14ac:dyDescent="0.25">
      <c r="A266" s="2" t="str">
        <f>"3.1.6.00.06- PIS"</f>
        <v>3.1.6.00.06- PIS</v>
      </c>
      <c r="B266" s="10">
        <v>425842.02</v>
      </c>
      <c r="C266" s="10">
        <v>38506.239999999998</v>
      </c>
      <c r="D266" s="10">
        <v>464348.26</v>
      </c>
    </row>
    <row r="267" spans="1:4" x14ac:dyDescent="0.25">
      <c r="A267" s="2" t="str">
        <f>"3.1.6.00.07- COFINS"</f>
        <v>3.1.6.00.07- COFINS</v>
      </c>
      <c r="B267" s="10">
        <v>1961454.16</v>
      </c>
      <c r="C267" s="10">
        <v>177362.07</v>
      </c>
      <c r="D267" s="10">
        <v>2138816.23</v>
      </c>
    </row>
    <row r="268" spans="1:4" x14ac:dyDescent="0.25">
      <c r="A268" s="2" t="str">
        <f>"3.1.6.00.08- Multas indedutiveis"</f>
        <v>3.1.6.00.08- Multas indedutiveis</v>
      </c>
      <c r="B268" s="10">
        <v>0.84</v>
      </c>
      <c r="C268" s="10">
        <v>0</v>
      </c>
      <c r="D268" s="10">
        <v>0.84</v>
      </c>
    </row>
    <row r="269" spans="1:4" x14ac:dyDescent="0.25">
      <c r="A269" s="2" t="str">
        <f>"3.1.6.00.10- ISS s/faturamento"</f>
        <v>3.1.6.00.10- ISS s/faturamento</v>
      </c>
      <c r="B269" s="10">
        <v>22083.84</v>
      </c>
      <c r="C269" s="10">
        <v>2774.54</v>
      </c>
      <c r="D269" s="10">
        <v>24858.38</v>
      </c>
    </row>
    <row r="270" spans="1:4" x14ac:dyDescent="0.25">
      <c r="A270" s="2" t="str">
        <f>"3.1.6.00.14- Contrib.entid.classe"</f>
        <v>3.1.6.00.14- Contrib.entid.classe</v>
      </c>
      <c r="B270" s="10">
        <v>22800.86</v>
      </c>
      <c r="C270" s="10">
        <v>0</v>
      </c>
      <c r="D270" s="10">
        <v>22800.86</v>
      </c>
    </row>
    <row r="271" spans="1:4" x14ac:dyDescent="0.25">
      <c r="A271" s="2" t="str">
        <f>"3.1.6.00.15- INSS Serv.terceiros"</f>
        <v>3.1.6.00.15- INSS Serv.terceiros</v>
      </c>
      <c r="B271" s="10">
        <v>17030.330000000002</v>
      </c>
      <c r="C271" s="10">
        <v>3219.76</v>
      </c>
      <c r="D271" s="10">
        <v>20250.09</v>
      </c>
    </row>
    <row r="272" spans="1:4" x14ac:dyDescent="0.25">
      <c r="A272" s="2" t="str">
        <f>"3.1.6.00.17- PIS s/ receitas financeiras"</f>
        <v>3.1.6.00.17- PIS s/ receitas financeiras</v>
      </c>
      <c r="B272" s="10">
        <v>2750.62</v>
      </c>
      <c r="C272" s="10">
        <v>461.89</v>
      </c>
      <c r="D272" s="10">
        <v>3212.51</v>
      </c>
    </row>
    <row r="273" spans="1:4" x14ac:dyDescent="0.25">
      <c r="A273" s="2" t="str">
        <f>"3.1.6.00.18- Cofins s/ receitas financeiras"</f>
        <v>3.1.6.00.18- Cofins s/ receitas financeiras</v>
      </c>
      <c r="B273" s="10">
        <v>16926.900000000001</v>
      </c>
      <c r="C273" s="10">
        <v>2842.38</v>
      </c>
      <c r="D273" s="10">
        <v>19769.28</v>
      </c>
    </row>
    <row r="274" spans="1:4" x14ac:dyDescent="0.25">
      <c r="A274" s="2" t="str">
        <f>"3.1.7.00.00- DESPESAS FINANCEIRAS"</f>
        <v>3.1.7.00.00- DESPESAS FINANCEIRAS</v>
      </c>
      <c r="B274" s="10">
        <v>506169.74</v>
      </c>
      <c r="C274" s="10">
        <v>1168.1600000000001</v>
      </c>
      <c r="D274" s="10">
        <v>507337.9</v>
      </c>
    </row>
    <row r="275" spans="1:4" x14ac:dyDescent="0.25">
      <c r="A275" s="2" t="str">
        <f>"3.1.7.01.01- Juros passivos curto prazo"</f>
        <v>3.1.7.01.01- Juros passivos curto prazo</v>
      </c>
      <c r="B275" s="10">
        <v>493199.03</v>
      </c>
      <c r="C275" s="10">
        <v>0</v>
      </c>
      <c r="D275" s="10">
        <v>493199.03</v>
      </c>
    </row>
    <row r="276" spans="1:4" x14ac:dyDescent="0.25">
      <c r="A276" s="2" t="str">
        <f>"3.1.7.01.02- Despesas bancarias"</f>
        <v>3.1.7.01.02- Despesas bancarias</v>
      </c>
      <c r="B276" s="10">
        <v>12970.71</v>
      </c>
      <c r="C276" s="10">
        <v>1168.1600000000001</v>
      </c>
      <c r="D276" s="10">
        <v>14138.87</v>
      </c>
    </row>
    <row r="277" spans="1:4" x14ac:dyDescent="0.25">
      <c r="A277" s="2" t="str">
        <f>"3.1.8.00.00- OUTRAS DESPESAS"</f>
        <v>3.1.8.00.00- OUTRAS DESPESAS</v>
      </c>
      <c r="B277" s="10">
        <v>3639795.36</v>
      </c>
      <c r="C277" s="10">
        <v>269561.65999999997</v>
      </c>
      <c r="D277" s="10">
        <v>3909357.02</v>
      </c>
    </row>
    <row r="278" spans="1:4" x14ac:dyDescent="0.25">
      <c r="A278" s="2" t="str">
        <f>"3.1.8.00.01- Despesas de viagem"</f>
        <v>3.1.8.00.01- Despesas de viagem</v>
      </c>
      <c r="B278" s="10">
        <v>68413.320000000007</v>
      </c>
      <c r="C278" s="10">
        <v>2056.96</v>
      </c>
      <c r="D278" s="10">
        <v>70470.28</v>
      </c>
    </row>
    <row r="279" spans="1:4" x14ac:dyDescent="0.25">
      <c r="A279" s="2" t="str">
        <f>"3.1.8.00.05- Depreciacao/amort"</f>
        <v>3.1.8.00.05- Depreciacao/amort</v>
      </c>
      <c r="B279" s="10">
        <v>211255.9</v>
      </c>
      <c r="C279" s="10">
        <v>20653.080000000002</v>
      </c>
      <c r="D279" s="10">
        <v>231908.98</v>
      </c>
    </row>
    <row r="280" spans="1:4" x14ac:dyDescent="0.25">
      <c r="A280" s="2" t="str">
        <f>"3.1.8.00.06- Seguros bens moveis e imoveis"</f>
        <v>3.1.8.00.06- Seguros bens moveis e imoveis</v>
      </c>
      <c r="B280" s="10">
        <v>10065.07</v>
      </c>
      <c r="C280" s="10">
        <v>2883.98</v>
      </c>
      <c r="D280" s="10">
        <v>12949.05</v>
      </c>
    </row>
    <row r="281" spans="1:4" x14ac:dyDescent="0.25">
      <c r="A281" s="2" t="str">
        <f>"3.1.8.00.08- Alugueis e condominio"</f>
        <v>3.1.8.00.08- Alugueis e condominio</v>
      </c>
      <c r="B281" s="10">
        <v>51235.06</v>
      </c>
      <c r="C281" s="10">
        <v>5071.8100000000004</v>
      </c>
      <c r="D281" s="10">
        <v>56306.87</v>
      </c>
    </row>
    <row r="282" spans="1:4" x14ac:dyDescent="0.25">
      <c r="A282" s="2" t="str">
        <f>"3.1.8.00.09- Multas dedutiveis"</f>
        <v>3.1.8.00.09- Multas dedutiveis</v>
      </c>
      <c r="B282" s="10">
        <v>55.93</v>
      </c>
      <c r="C282" s="10">
        <v>0</v>
      </c>
      <c r="D282" s="10">
        <v>55.93</v>
      </c>
    </row>
    <row r="283" spans="1:4" x14ac:dyDescent="0.25">
      <c r="A283" s="2" t="str">
        <f>"3.1.8.00.12- Acoes judiciais terceiros"</f>
        <v>3.1.8.00.12- Acoes judiciais terceiros</v>
      </c>
      <c r="B283" s="10">
        <v>94026.04</v>
      </c>
      <c r="C283" s="10">
        <v>0</v>
      </c>
      <c r="D283" s="10">
        <v>94026.04</v>
      </c>
    </row>
    <row r="284" spans="1:4" x14ac:dyDescent="0.25">
      <c r="A284" s="2" t="str">
        <f>"3.1.8.00.16- Baixa de imobilizado"</f>
        <v>3.1.8.00.16- Baixa de imobilizado</v>
      </c>
      <c r="B284" s="10">
        <v>43459.94</v>
      </c>
      <c r="C284" s="10">
        <v>574.57000000000005</v>
      </c>
      <c r="D284" s="10">
        <v>44034.51</v>
      </c>
    </row>
    <row r="285" spans="1:4" x14ac:dyDescent="0.25">
      <c r="A285" s="2" t="str">
        <f>"3.1.8.00.17- Gastos com eventos e promocoes"</f>
        <v>3.1.8.00.17- Gastos com eventos e promocoes</v>
      </c>
      <c r="B285" s="10">
        <v>23493.759999999998</v>
      </c>
      <c r="C285" s="10">
        <v>4200.0200000000004</v>
      </c>
      <c r="D285" s="10">
        <v>27693.78</v>
      </c>
    </row>
    <row r="286" spans="1:4" x14ac:dyDescent="0.25">
      <c r="A286" s="2" t="str">
        <f>"3.1.8.00.18- Provisao para perdas"</f>
        <v>3.1.8.00.18- Provisao para perdas</v>
      </c>
      <c r="B286" s="10">
        <v>649797.67000000004</v>
      </c>
      <c r="C286" s="10">
        <v>105934.02</v>
      </c>
      <c r="D286" s="10">
        <v>755731.69</v>
      </c>
    </row>
    <row r="287" spans="1:4" x14ac:dyDescent="0.25">
      <c r="A287" s="2" t="str">
        <f>"3.1.8.00.22- Perda tributos a recuperar"</f>
        <v>3.1.8.00.22- Perda tributos a recuperar</v>
      </c>
      <c r="B287" s="10">
        <v>1395955.29</v>
      </c>
      <c r="C287" s="10">
        <v>0</v>
      </c>
      <c r="D287" s="10">
        <v>1395955.29</v>
      </c>
    </row>
    <row r="288" spans="1:4" x14ac:dyDescent="0.25">
      <c r="A288" s="2" t="str">
        <f>"3.1.8.00.23- Custas/Despesas Judiciais"</f>
        <v>3.1.8.00.23- Custas/Despesas Judiciais</v>
      </c>
      <c r="B288" s="10">
        <v>122063.7</v>
      </c>
      <c r="C288" s="10">
        <v>7476.96</v>
      </c>
      <c r="D288" s="10">
        <v>129540.66</v>
      </c>
    </row>
    <row r="289" spans="1:4" x14ac:dyDescent="0.25">
      <c r="A289" s="2" t="str">
        <f>"3.1.8.00.30- Estacionamento Rotativo Digital"</f>
        <v>3.1.8.00.30- Estacionamento Rotativo Digital</v>
      </c>
      <c r="B289" s="10">
        <v>960882.4</v>
      </c>
      <c r="C289" s="10">
        <v>120110.3</v>
      </c>
      <c r="D289" s="10">
        <v>1080992.7</v>
      </c>
    </row>
    <row r="290" spans="1:4" x14ac:dyDescent="0.25">
      <c r="A290" s="2" t="str">
        <f>"3.1.8.00.99- Despesas diversas"</f>
        <v>3.1.8.00.99- Despesas diversas</v>
      </c>
      <c r="B290" s="10">
        <v>9091.2800000000007</v>
      </c>
      <c r="C290" s="10">
        <v>599.96</v>
      </c>
      <c r="D290" s="10">
        <v>9691.24</v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""</f>
        <v/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""</f>
        <v/>
      </c>
      <c r="B299" s="3" t="str">
        <f>""</f>
        <v/>
      </c>
      <c r="C299" s="3" t="str">
        <f>""</f>
        <v/>
      </c>
      <c r="D299" s="3" t="str">
        <f>""</f>
        <v/>
      </c>
    </row>
    <row r="300" spans="1:4" x14ac:dyDescent="0.25">
      <c r="A300" s="2" t="str">
        <f>""</f>
        <v/>
      </c>
      <c r="B300" s="3" t="str">
        <f>""</f>
        <v/>
      </c>
      <c r="C300" s="3" t="str">
        <f>""</f>
        <v/>
      </c>
      <c r="D300" s="3" t="str">
        <f>""</f>
        <v/>
      </c>
    </row>
    <row r="301" spans="1:4" x14ac:dyDescent="0.25">
      <c r="A301" s="2" t="str">
        <f>"RECEITAS"</f>
        <v>RECEITAS</v>
      </c>
      <c r="B301" s="3" t="str">
        <f>""</f>
        <v/>
      </c>
      <c r="C301" s="3" t="str">
        <f>""</f>
        <v/>
      </c>
      <c r="D301" s="3" t="str">
        <f>""</f>
        <v/>
      </c>
    </row>
    <row r="302" spans="1:4" x14ac:dyDescent="0.25">
      <c r="A302" s="2" t="str">
        <f>"4.0.0.00.00- RECEITAS"</f>
        <v>4.0.0.00.00- RECEITAS</v>
      </c>
      <c r="B302" s="10">
        <v>131046555.56</v>
      </c>
      <c r="C302" s="10">
        <v>13471413.43</v>
      </c>
      <c r="D302" s="10">
        <v>144517968.99000001</v>
      </c>
    </row>
    <row r="303" spans="1:4" x14ac:dyDescent="0.25">
      <c r="A303" s="2" t="str">
        <f>"4.1.0.00.00- RECEITAS BHTRANS"</f>
        <v>4.1.0.00.00- RECEITAS BHTRANS</v>
      </c>
      <c r="B303" s="10">
        <v>129458998.93000001</v>
      </c>
      <c r="C303" s="10">
        <v>13315134.029999999</v>
      </c>
      <c r="D303" s="10">
        <v>142774132.96000001</v>
      </c>
    </row>
    <row r="304" spans="1:4" x14ac:dyDescent="0.25">
      <c r="A304" s="2" t="str">
        <f>"4.1.1.00.00- RECEITAS OPERACIONAIS"</f>
        <v>4.1.1.00.00- RECEITAS OPERACIONAIS</v>
      </c>
      <c r="B304" s="10">
        <v>128893406.19</v>
      </c>
      <c r="C304" s="10">
        <v>13268080.25</v>
      </c>
      <c r="D304" s="10">
        <v>142161486.44</v>
      </c>
    </row>
    <row r="305" spans="1:4" x14ac:dyDescent="0.25">
      <c r="A305" s="2" t="str">
        <f>"4.1.1.00.05- Midia taxi, escolar e suplementar"</f>
        <v>4.1.1.00.05- Midia taxi, escolar e suplementar</v>
      </c>
      <c r="B305" s="10">
        <v>36415.050000000003</v>
      </c>
      <c r="C305" s="10">
        <v>1965.04</v>
      </c>
      <c r="D305" s="10">
        <v>38380.089999999997</v>
      </c>
    </row>
    <row r="306" spans="1:4" x14ac:dyDescent="0.25">
      <c r="A306" s="2" t="str">
        <f>"4.1.1.00.06- Midia em onibus"</f>
        <v>4.1.1.00.06- Midia em onibus</v>
      </c>
      <c r="B306" s="10">
        <v>613299.18000000005</v>
      </c>
      <c r="C306" s="10">
        <v>82643.89</v>
      </c>
      <c r="D306" s="10">
        <v>695943.07</v>
      </c>
    </row>
    <row r="307" spans="1:4" x14ac:dyDescent="0.25">
      <c r="A307" s="2" t="str">
        <f>"4.1.1.00.07- Midias diversas"</f>
        <v>4.1.1.00.07- Midias diversas</v>
      </c>
      <c r="B307" s="10">
        <v>87023.5</v>
      </c>
      <c r="C307" s="10">
        <v>8342.83</v>
      </c>
      <c r="D307" s="10">
        <v>95366.33</v>
      </c>
    </row>
    <row r="308" spans="1:4" x14ac:dyDescent="0.25">
      <c r="A308" s="2" t="str">
        <f>"4.1.1.00.08- Estacionamento Rotativo"</f>
        <v>4.1.1.00.08- Estacionamento Rotativo</v>
      </c>
      <c r="B308" s="10">
        <v>14494410.23</v>
      </c>
      <c r="C308" s="10">
        <v>151068.34</v>
      </c>
      <c r="D308" s="10">
        <v>14645478.57</v>
      </c>
    </row>
    <row r="309" spans="1:4" x14ac:dyDescent="0.25">
      <c r="A309" s="2" t="str">
        <f>"4.1.1.00.10- Transf. financeira PBH"</f>
        <v>4.1.1.00.10- Transf. financeira PBH</v>
      </c>
      <c r="B309" s="10">
        <v>104814775.7</v>
      </c>
      <c r="C309" s="10">
        <v>11066642.470000001</v>
      </c>
      <c r="D309" s="10">
        <v>115881418.17</v>
      </c>
    </row>
    <row r="310" spans="1:4" x14ac:dyDescent="0.25">
      <c r="A310" s="2" t="str">
        <f>"4.1.1.00.16- Multas transporte coletivo"</f>
        <v>4.1.1.00.16- Multas transporte coletivo</v>
      </c>
      <c r="B310" s="10">
        <v>3248988.28</v>
      </c>
      <c r="C310" s="10">
        <v>529670.1</v>
      </c>
      <c r="D310" s="10">
        <v>3778658.38</v>
      </c>
    </row>
    <row r="311" spans="1:4" x14ac:dyDescent="0.25">
      <c r="A311" s="2" t="str">
        <f>"4.1.1.00.17- Multas transporte publico"</f>
        <v>4.1.1.00.17- Multas transporte publico</v>
      </c>
      <c r="B311" s="10">
        <v>753273.16</v>
      </c>
      <c r="C311" s="10">
        <v>94329.81</v>
      </c>
      <c r="D311" s="10">
        <v>847602.97</v>
      </c>
    </row>
    <row r="312" spans="1:4" x14ac:dyDescent="0.25">
      <c r="A312" s="2" t="str">
        <f>"4.1.1.00.19- Subconcessao frotas de taxi"</f>
        <v>4.1.1.00.19- Subconcessao frotas de taxi</v>
      </c>
      <c r="B312" s="10">
        <v>905900.04</v>
      </c>
      <c r="C312" s="10">
        <v>159394.81</v>
      </c>
      <c r="D312" s="10">
        <v>1065294.8500000001</v>
      </c>
    </row>
    <row r="313" spans="1:4" x14ac:dyDescent="0.25">
      <c r="A313" s="2" t="str">
        <f>"4.1.1.00.21- Estacionamento Rotativo Digital"</f>
        <v>4.1.1.00.21- Estacionamento Rotativo Digital</v>
      </c>
      <c r="B313" s="10">
        <v>3939321.05</v>
      </c>
      <c r="C313" s="10">
        <v>1174022.96</v>
      </c>
      <c r="D313" s="10">
        <v>5113344.01</v>
      </c>
    </row>
    <row r="314" spans="1:4" x14ac:dyDescent="0.25">
      <c r="A314" s="2" t="str">
        <f>"4.1.8.00.00- RECEITAS ALUGUEIS ESTACOES"</f>
        <v>4.1.8.00.00- RECEITAS ALUGUEIS ESTACOES</v>
      </c>
      <c r="B314" s="10">
        <v>565592.74</v>
      </c>
      <c r="C314" s="10">
        <v>47053.78</v>
      </c>
      <c r="D314" s="10">
        <v>612646.52</v>
      </c>
    </row>
    <row r="315" spans="1:4" x14ac:dyDescent="0.25">
      <c r="A315" s="2" t="str">
        <f>"4.1.8.00.01- Alugueis Estacoes"</f>
        <v>4.1.8.00.01- Alugueis Estacoes</v>
      </c>
      <c r="B315" s="10">
        <v>565592.74</v>
      </c>
      <c r="C315" s="10">
        <v>47053.78</v>
      </c>
      <c r="D315" s="10">
        <v>612646.52</v>
      </c>
    </row>
    <row r="316" spans="1:4" x14ac:dyDescent="0.25">
      <c r="A316" s="2" t="str">
        <f>"4.2.0.00.00- RECEITAS FINANCEIRAS"</f>
        <v>4.2.0.00.00- RECEITAS FINANCEIRAS</v>
      </c>
      <c r="B316" s="10">
        <v>423172.64</v>
      </c>
      <c r="C316" s="10">
        <v>71059.53</v>
      </c>
      <c r="D316" s="10">
        <v>494232.17</v>
      </c>
    </row>
    <row r="317" spans="1:4" x14ac:dyDescent="0.25">
      <c r="A317" s="2" t="str">
        <f>"4.2.1.00.00- RECEITAS FINANCEIRAS"</f>
        <v>4.2.1.00.00- RECEITAS FINANCEIRAS</v>
      </c>
      <c r="B317" s="10">
        <v>422611.86</v>
      </c>
      <c r="C317" s="10">
        <v>71007.289999999994</v>
      </c>
      <c r="D317" s="10">
        <v>493619.15</v>
      </c>
    </row>
    <row r="318" spans="1:4" x14ac:dyDescent="0.25">
      <c r="A318" s="2" t="str">
        <f>"4.2.1.00.01- Rendimentos aplic. Financeira"</f>
        <v>4.2.1.00.01- Rendimentos aplic. Financeira</v>
      </c>
      <c r="B318" s="10">
        <v>415573.94</v>
      </c>
      <c r="C318" s="10">
        <v>70355.850000000006</v>
      </c>
      <c r="D318" s="10">
        <v>485929.79</v>
      </c>
    </row>
    <row r="319" spans="1:4" x14ac:dyDescent="0.25">
      <c r="A319" s="2" t="str">
        <f>"4.2.1.00.02- Juros ativos"</f>
        <v>4.2.1.00.02- Juros ativos</v>
      </c>
      <c r="B319" s="10">
        <v>2442.42</v>
      </c>
      <c r="C319" s="10">
        <v>651.44000000000005</v>
      </c>
      <c r="D319" s="10">
        <v>3093.86</v>
      </c>
    </row>
    <row r="320" spans="1:4" x14ac:dyDescent="0.25">
      <c r="A320" s="2" t="str">
        <f>"4.2.1.00.05- Receitas Financeiras - Convênio"</f>
        <v>4.2.1.00.05- Receitas Financeiras - Convênio</v>
      </c>
      <c r="B320" s="10">
        <v>4595.49</v>
      </c>
      <c r="C320" s="10">
        <v>0</v>
      </c>
      <c r="D320" s="10">
        <v>4595.49</v>
      </c>
    </row>
    <row r="321" spans="1:4" x14ac:dyDescent="0.25">
      <c r="A321" s="2" t="str">
        <f>"4.2.1.00.06- Descontos financeiros obtidos"</f>
        <v>4.2.1.00.06- Descontos financeiros obtidos</v>
      </c>
      <c r="B321" s="10">
        <v>0.01</v>
      </c>
      <c r="C321" s="10">
        <v>0</v>
      </c>
      <c r="D321" s="10">
        <v>0.01</v>
      </c>
    </row>
    <row r="322" spans="1:4" x14ac:dyDescent="0.25">
      <c r="A322" s="2" t="str">
        <f>"4.2.2.00.00- VARIACOES MONETARIAS ATIVAS"</f>
        <v>4.2.2.00.00- VARIACOES MONETARIAS ATIVAS</v>
      </c>
      <c r="B322" s="10">
        <v>560.78</v>
      </c>
      <c r="C322" s="10">
        <v>52.24</v>
      </c>
      <c r="D322" s="10">
        <v>613.02</v>
      </c>
    </row>
    <row r="323" spans="1:4" x14ac:dyDescent="0.25">
      <c r="A323" s="2" t="str">
        <f>"4.2.2.00.01- Variações monetárias ativas"</f>
        <v>4.2.2.00.01- Variações monetárias ativas</v>
      </c>
      <c r="B323" s="10">
        <v>560.78</v>
      </c>
      <c r="C323" s="10">
        <v>52.24</v>
      </c>
      <c r="D323" s="10">
        <v>613.02</v>
      </c>
    </row>
    <row r="324" spans="1:4" x14ac:dyDescent="0.25">
      <c r="A324" s="2" t="str">
        <f>"4.3.0.00.00- OUTRAS RECEITAS"</f>
        <v>4.3.0.00.00- OUTRAS RECEITAS</v>
      </c>
      <c r="B324" s="10">
        <v>1164383.99</v>
      </c>
      <c r="C324" s="10">
        <v>85219.87</v>
      </c>
      <c r="D324" s="10">
        <v>1249603.8600000001</v>
      </c>
    </row>
    <row r="325" spans="1:4" x14ac:dyDescent="0.25">
      <c r="A325" s="2" t="str">
        <f>"4.3.1.00.00- OUTRAS RECEITAS"</f>
        <v>4.3.1.00.00- OUTRAS RECEITAS</v>
      </c>
      <c r="B325" s="10">
        <v>1164383.99</v>
      </c>
      <c r="C325" s="10">
        <v>85219.87</v>
      </c>
      <c r="D325" s="10">
        <v>1249603.8600000001</v>
      </c>
    </row>
    <row r="326" spans="1:4" x14ac:dyDescent="0.25">
      <c r="A326" s="2" t="str">
        <f>"4.3.1.00.02- Doacoes"</f>
        <v>4.3.1.00.02- Doacoes</v>
      </c>
      <c r="B326" s="10">
        <v>54589</v>
      </c>
      <c r="C326" s="10">
        <v>0</v>
      </c>
      <c r="D326" s="10">
        <v>54589</v>
      </c>
    </row>
    <row r="327" spans="1:4" x14ac:dyDescent="0.25">
      <c r="A327" s="2" t="str">
        <f>"4.3.1.00.04- Receitas Diversas"</f>
        <v>4.3.1.00.04- Receitas Diversas</v>
      </c>
      <c r="B327" s="10">
        <v>859029.61</v>
      </c>
      <c r="C327" s="10">
        <v>56627.95</v>
      </c>
      <c r="D327" s="10">
        <v>915657.56</v>
      </c>
    </row>
    <row r="328" spans="1:4" x14ac:dyDescent="0.25">
      <c r="A328" s="2" t="str">
        <f>"4.3.1.00.07- Concessão de Abrigo de ônibus"</f>
        <v>4.3.1.00.07- Concessão de Abrigo de ônibus</v>
      </c>
      <c r="B328" s="10">
        <v>250765.38</v>
      </c>
      <c r="C328" s="10">
        <v>28591.919999999998</v>
      </c>
      <c r="D328" s="10">
        <v>279357.3</v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x14ac:dyDescent="0.25">
      <c r="A350" s="2" t="str">
        <f>""</f>
        <v/>
      </c>
      <c r="B350" s="3" t="str">
        <f>""</f>
        <v/>
      </c>
      <c r="C350" s="3" t="str">
        <f>""</f>
        <v/>
      </c>
      <c r="D350" s="3" t="str">
        <f>""</f>
        <v/>
      </c>
    </row>
    <row r="351" spans="1:4" x14ac:dyDescent="0.25">
      <c r="A351" s="2" t="str">
        <f>""</f>
        <v/>
      </c>
      <c r="B351" s="3" t="str">
        <f>""</f>
        <v/>
      </c>
      <c r="C351" s="3" t="str">
        <f>""</f>
        <v/>
      </c>
      <c r="D351" s="3" t="str">
        <f>""</f>
        <v/>
      </c>
    </row>
    <row r="352" spans="1:4" x14ac:dyDescent="0.25">
      <c r="A352" s="2" t="str">
        <f>""</f>
        <v/>
      </c>
      <c r="B352" s="3" t="str">
        <f>""</f>
        <v/>
      </c>
      <c r="C352" s="3" t="str">
        <f>""</f>
        <v/>
      </c>
      <c r="D352" s="3" t="str">
        <f>""</f>
        <v/>
      </c>
    </row>
    <row r="353" spans="1:4" ht="15.75" thickBot="1" x14ac:dyDescent="0.3">
      <c r="A353" s="4" t="str">
        <f>"APURACAO DE RESULTADOS"</f>
        <v>APURACAO DE RESULTADOS</v>
      </c>
      <c r="B353" s="5" t="str">
        <f>""</f>
        <v/>
      </c>
      <c r="C353" s="5" t="str">
        <f>""</f>
        <v/>
      </c>
      <c r="D353" s="5" t="str">
        <f>""</f>
        <v/>
      </c>
    </row>
    <row r="354" spans="1:4" x14ac:dyDescent="0.25">
      <c r="A354" t="s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6"/>
  <sheetViews>
    <sheetView workbookViewId="0">
      <selection activeCell="D1" sqref="D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16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56559108.119999997</v>
      </c>
      <c r="C4" s="10">
        <v>-7094567.6900000004</v>
      </c>
      <c r="D4" s="10">
        <v>49464540.43</v>
      </c>
    </row>
    <row r="5" spans="1:4" x14ac:dyDescent="0.25">
      <c r="A5" s="2" t="str">
        <f>"1.1.0.00.00- ATIVO CIRCULANTE"</f>
        <v>1.1.0.00.00- ATIVO CIRCULANTE</v>
      </c>
      <c r="B5" s="10">
        <v>30536153.379999999</v>
      </c>
      <c r="C5" s="10">
        <v>-10315903.699999999</v>
      </c>
      <c r="D5" s="10">
        <v>20220249.68</v>
      </c>
    </row>
    <row r="6" spans="1:4" x14ac:dyDescent="0.25">
      <c r="A6" s="2" t="str">
        <f>"1.1.1.00.00- DISPONIVEL"</f>
        <v>1.1.1.00.00- DISPONIVEL</v>
      </c>
      <c r="B6" s="10">
        <v>17442751.649999999</v>
      </c>
      <c r="C6" s="10">
        <v>-4709682.47</v>
      </c>
      <c r="D6" s="10">
        <v>12733069.18</v>
      </c>
    </row>
    <row r="7" spans="1:4" x14ac:dyDescent="0.25">
      <c r="A7" s="2" t="str">
        <f>"1.1.1.01.00- CAIXA GERAL"</f>
        <v>1.1.1.01.00- CAIXA GERAL</v>
      </c>
      <c r="B7" s="10">
        <v>1729.99</v>
      </c>
      <c r="C7" s="10">
        <v>-1119.99</v>
      </c>
      <c r="D7" s="10">
        <v>610</v>
      </c>
    </row>
    <row r="8" spans="1:4" x14ac:dyDescent="0.25">
      <c r="A8" s="2" t="str">
        <f>"1.1.1.01.04- Caixa - Georf"</f>
        <v>1.1.1.01.04- Caixa - Georf</v>
      </c>
      <c r="B8" s="10">
        <v>520</v>
      </c>
      <c r="C8" s="10">
        <v>-520</v>
      </c>
      <c r="D8" s="10">
        <v>0</v>
      </c>
    </row>
    <row r="9" spans="1:4" x14ac:dyDescent="0.25">
      <c r="A9" s="2" t="str">
        <f>"1.1.1.01.08- Caixa - AJU"</f>
        <v>1.1.1.01.08- Caixa - AJU</v>
      </c>
      <c r="B9" s="10">
        <v>-0.01</v>
      </c>
      <c r="C9" s="10">
        <v>0.01</v>
      </c>
      <c r="D9" s="10">
        <v>0</v>
      </c>
    </row>
    <row r="10" spans="1:4" x14ac:dyDescent="0.25">
      <c r="A10" s="2" t="str">
        <f>"1.1.1.01.09- Caixa - GEAMP"</f>
        <v>1.1.1.01.09- Caixa - GEAMP</v>
      </c>
      <c r="B10" s="10">
        <v>1210</v>
      </c>
      <c r="C10" s="10">
        <v>-600</v>
      </c>
      <c r="D10" s="10">
        <v>610</v>
      </c>
    </row>
    <row r="11" spans="1:4" x14ac:dyDescent="0.25">
      <c r="A11" s="2" t="str">
        <f>"1.1.1.02.00- BANCOS C/MOVIMENTO"</f>
        <v>1.1.1.02.00- BANCOS C/MOVIMENTO</v>
      </c>
      <c r="B11" s="10">
        <v>240640.94</v>
      </c>
      <c r="C11" s="10">
        <v>-216392.13</v>
      </c>
      <c r="D11" s="10">
        <v>24248.81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112.22</v>
      </c>
      <c r="C12" s="10">
        <v>2609.52</v>
      </c>
      <c r="D12" s="10">
        <v>2721.74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112430.35</v>
      </c>
      <c r="C13" s="10">
        <v>-94194.99</v>
      </c>
      <c r="D13" s="10">
        <v>18235.36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83322.679999999993</v>
      </c>
      <c r="C14" s="10">
        <v>-83322.679999999993</v>
      </c>
      <c r="D14" s="10">
        <v>0</v>
      </c>
    </row>
    <row r="15" spans="1:4" x14ac:dyDescent="0.25">
      <c r="A15" s="2" t="str">
        <f>"1.1.1.02.32- Caixa Econômica Federal - 3292-3 Leilão"</f>
        <v>1.1.1.02.32- Caixa Econômica Federal - 3292-3 Leilão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"1.1.1.02.41- Caixa Econômica Federal - 3303-2Rotativo"</f>
        <v>1.1.1.02.41- Caixa Econômica Federal - 3303-2Rotativo</v>
      </c>
      <c r="B17" s="10">
        <v>44615.69</v>
      </c>
      <c r="C17" s="10">
        <v>-41500</v>
      </c>
      <c r="D17" s="10">
        <v>3115.69</v>
      </c>
    </row>
    <row r="18" spans="1:4" x14ac:dyDescent="0.25">
      <c r="A18" s="2" t="str">
        <f>"1.1.1.02.43- Caixa Econômica Federal - 3305-9Sucumb."</f>
        <v>1.1.1.02.43- Caixa Econômica Federal - 3305-9Sucumb.</v>
      </c>
      <c r="B18" s="10">
        <v>0</v>
      </c>
      <c r="C18" s="10">
        <v>16.02</v>
      </c>
      <c r="D18" s="10">
        <v>16.02</v>
      </c>
    </row>
    <row r="19" spans="1:4" x14ac:dyDescent="0.25">
      <c r="A19" s="2" t="str">
        <f>"1.1.1.03.00- APLICACOES FINANCEIRAS"</f>
        <v>1.1.1.03.00- APLICACOES FINANCEIRAS</v>
      </c>
      <c r="B19" s="10">
        <v>16089845.300000001</v>
      </c>
      <c r="C19" s="10">
        <v>-4491048.8099999996</v>
      </c>
      <c r="D19" s="10">
        <v>11598796.49</v>
      </c>
    </row>
    <row r="20" spans="1:4" x14ac:dyDescent="0.25">
      <c r="A20" s="2" t="str">
        <f>"1.1.1.03.23- Caixa Econômica Federal - 3291-5"</f>
        <v>1.1.1.03.23- Caixa Econômica Federal - 3291-5</v>
      </c>
      <c r="B20" s="10">
        <v>14884123.810000001</v>
      </c>
      <c r="C20" s="10">
        <v>-4422712.41</v>
      </c>
      <c r="D20" s="10">
        <v>10461411.4</v>
      </c>
    </row>
    <row r="21" spans="1:4" x14ac:dyDescent="0.25">
      <c r="A21" s="2" t="str">
        <f>"1.1.1.03.25- Caixa Econômica Federal - 3292-3 Leilão"</f>
        <v>1.1.1.03.25- Caixa Econômica Federal - 3292-3 Leilão</v>
      </c>
      <c r="B21" s="10">
        <v>75550.990000000005</v>
      </c>
      <c r="C21" s="10">
        <v>348.99</v>
      </c>
      <c r="D21" s="10">
        <v>75899.98</v>
      </c>
    </row>
    <row r="22" spans="1:4" x14ac:dyDescent="0.25">
      <c r="A22" s="2" t="str">
        <f>"1.1.1.03.26- Caixa Econômica Federal - 3295-8Leilão13"</f>
        <v>1.1.1.03.26- Caixa Econômica Federal - 3295-8Leilão13</v>
      </c>
      <c r="B22" s="10">
        <v>206909.2</v>
      </c>
      <c r="C22" s="10">
        <v>955.78</v>
      </c>
      <c r="D22" s="10">
        <v>207864.98</v>
      </c>
    </row>
    <row r="23" spans="1:4" x14ac:dyDescent="0.25">
      <c r="A23" s="2" t="str">
        <f>"1.1.1.03.29- Caixa Econômica Federal - 3298-2Leilão15"</f>
        <v>1.1.1.03.29- Caixa Econômica Federal - 3298-2Leilão15</v>
      </c>
      <c r="B23" s="10">
        <v>102782.84</v>
      </c>
      <c r="C23" s="10">
        <v>388.5</v>
      </c>
      <c r="D23" s="10">
        <v>103171.34</v>
      </c>
    </row>
    <row r="24" spans="1:4" x14ac:dyDescent="0.25">
      <c r="A24" s="2" t="str">
        <f>"1.1.1.03.30- Caixa Econômica Federal - 3299-0Leilão16"</f>
        <v>1.1.1.03.30- Caixa Econômica Federal - 3299-0Leilão16</v>
      </c>
      <c r="B24" s="10">
        <v>130145.39</v>
      </c>
      <c r="C24" s="10">
        <v>601.17999999999995</v>
      </c>
      <c r="D24" s="10">
        <v>130746.57</v>
      </c>
    </row>
    <row r="25" spans="1:4" x14ac:dyDescent="0.25">
      <c r="A25" s="2" t="str">
        <f>"1.1.1.03.31- Caixa Econômica Federal - 3300-8Leilão16"</f>
        <v>1.1.1.03.31- Caixa Econômica Federal - 3300-8Leilão16</v>
      </c>
      <c r="B25" s="10">
        <v>46438.78</v>
      </c>
      <c r="C25" s="10">
        <v>175.52</v>
      </c>
      <c r="D25" s="10">
        <v>46614.3</v>
      </c>
    </row>
    <row r="26" spans="1:4" x14ac:dyDescent="0.25">
      <c r="A26" s="2" t="str">
        <f>"1.1.1.03.32- Caixa Econômica - 3301-6 Mídia"</f>
        <v>1.1.1.03.32- Caixa Econômica - 3301-6 Mídia</v>
      </c>
      <c r="B26" s="10">
        <v>91069.58</v>
      </c>
      <c r="C26" s="10">
        <v>508.48</v>
      </c>
      <c r="D26" s="10">
        <v>91578.06</v>
      </c>
    </row>
    <row r="27" spans="1:4" x14ac:dyDescent="0.25">
      <c r="A27" s="2" t="str">
        <f>"1.1.1.03.35- Caixa Econômica - 3304-0Caução"</f>
        <v>1.1.1.03.35- Caixa Econômica - 3304-0Caução</v>
      </c>
      <c r="B27" s="10">
        <v>219914.94</v>
      </c>
      <c r="C27" s="10">
        <v>-62764.59</v>
      </c>
      <c r="D27" s="10">
        <v>157150.35</v>
      </c>
    </row>
    <row r="28" spans="1:4" x14ac:dyDescent="0.25">
      <c r="A28" s="2" t="str">
        <f>"1.1.1.03.36- Caixa Econômica - 3305-9Sucumb."</f>
        <v>1.1.1.03.36- Caixa Econômica - 3305-9Sucumb.</v>
      </c>
      <c r="B28" s="10">
        <v>9619.08</v>
      </c>
      <c r="C28" s="10">
        <v>-9619.08</v>
      </c>
      <c r="D28" s="10">
        <v>0</v>
      </c>
    </row>
    <row r="29" spans="1:4" x14ac:dyDescent="0.25">
      <c r="A29" s="2" t="str">
        <f>"1.1.1.03.38- Caixa Econômica - 3308-3Leilão"</f>
        <v>1.1.1.03.38- Caixa Econômica - 3308-3Leilão</v>
      </c>
      <c r="B29" s="10">
        <v>2217.44</v>
      </c>
      <c r="C29" s="10">
        <v>8.32</v>
      </c>
      <c r="D29" s="10">
        <v>2225.7600000000002</v>
      </c>
    </row>
    <row r="30" spans="1:4" x14ac:dyDescent="0.25">
      <c r="A30" s="2" t="str">
        <f>"1.1.1.03.42- Caixa Econômica - 532-9 Acid Ped Poupanç"</f>
        <v>1.1.1.03.42- Caixa Econômica - 532-9 Acid Ped Poupanç</v>
      </c>
      <c r="B30" s="10">
        <v>141.44</v>
      </c>
      <c r="C30" s="10">
        <v>0</v>
      </c>
      <c r="D30" s="10">
        <v>141.44</v>
      </c>
    </row>
    <row r="31" spans="1:4" x14ac:dyDescent="0.25">
      <c r="A31" s="2" t="str">
        <f>"1.1.1.03.43- Caixa Econômica - 534-5 Codemig Poupança"</f>
        <v>1.1.1.03.43- Caixa Econômica - 534-5 Codemig Poupança</v>
      </c>
      <c r="B31" s="10">
        <v>26403.31</v>
      </c>
      <c r="C31" s="10">
        <v>0</v>
      </c>
      <c r="D31" s="10">
        <v>26403.31</v>
      </c>
    </row>
    <row r="32" spans="1:4" x14ac:dyDescent="0.25">
      <c r="A32" s="2" t="str">
        <f>"1.1.1.03.44- Caixa Econômica - 535-3 Turblog Poupança"</f>
        <v>1.1.1.03.44- Caixa Econômica - 535-3 Turblog Poupança</v>
      </c>
      <c r="B32" s="10">
        <v>64949.46</v>
      </c>
      <c r="C32" s="10">
        <v>0</v>
      </c>
      <c r="D32" s="10">
        <v>64949.46</v>
      </c>
    </row>
    <row r="33" spans="1:4" x14ac:dyDescent="0.25">
      <c r="A33" s="2" t="str">
        <f>"1.1.1.03.45- Caixa Econômica Federal - 3393-8Leilão17"</f>
        <v>1.1.1.03.45- Caixa Econômica Federal - 3393-8Leilão17</v>
      </c>
      <c r="B33" s="10">
        <v>115478.79</v>
      </c>
      <c r="C33" s="10">
        <v>533.42999999999995</v>
      </c>
      <c r="D33" s="10">
        <v>116012.22</v>
      </c>
    </row>
    <row r="34" spans="1:4" x14ac:dyDescent="0.25">
      <c r="A34" s="2" t="str">
        <f>"1.1.1.03.46- Caixa Econômica Federal -3501-9Leillão17"</f>
        <v>1.1.1.03.46- Caixa Econômica Federal -3501-9Leillão17</v>
      </c>
      <c r="B34" s="10">
        <v>114100.25</v>
      </c>
      <c r="C34" s="10">
        <v>527.07000000000005</v>
      </c>
      <c r="D34" s="10">
        <v>114627.32</v>
      </c>
    </row>
    <row r="35" spans="1:4" x14ac:dyDescent="0.25">
      <c r="A35" s="2" t="str">
        <f>"1.1.1.04.00- BANCOS C/VINCULADA-PAMEH"</f>
        <v>1.1.1.04.00- BANCOS C/VINCULADA-PAMEH</v>
      </c>
      <c r="B35" s="10">
        <v>1110535.42</v>
      </c>
      <c r="C35" s="10">
        <v>-1121.54</v>
      </c>
      <c r="D35" s="10">
        <v>1109413.8799999999</v>
      </c>
    </row>
    <row r="36" spans="1:4" x14ac:dyDescent="0.25">
      <c r="A36" s="2" t="str">
        <f>"1.1.1.04.07- Caixa Econômica Federal - 3294-0"</f>
        <v>1.1.1.04.07- Caixa Econômica Federal - 3294-0</v>
      </c>
      <c r="B36" s="10">
        <v>5739.14</v>
      </c>
      <c r="C36" s="10">
        <v>42073.62</v>
      </c>
      <c r="D36" s="10">
        <v>47812.76</v>
      </c>
    </row>
    <row r="37" spans="1:4" x14ac:dyDescent="0.25">
      <c r="A37" s="2" t="str">
        <f>"1.1.1.04.08- Caixa Econômica Federal - 3294-0 Aplic."</f>
        <v>1.1.1.04.08- Caixa Econômica Federal - 3294-0 Aplic.</v>
      </c>
      <c r="B37" s="10">
        <v>1104796.28</v>
      </c>
      <c r="C37" s="10">
        <v>-43195.16</v>
      </c>
      <c r="D37" s="10">
        <v>1061601.1200000001</v>
      </c>
    </row>
    <row r="38" spans="1:4" x14ac:dyDescent="0.25">
      <c r="A38" s="2" t="str">
        <f>"1.1.2.00.00- REALIZAVEL A CURTO PRAZO"</f>
        <v>1.1.2.00.00- REALIZAVEL A CURTO PRAZO</v>
      </c>
      <c r="B38" s="10">
        <v>13093401.73</v>
      </c>
      <c r="C38" s="10">
        <v>-5606221.2300000004</v>
      </c>
      <c r="D38" s="10">
        <v>7487180.5</v>
      </c>
    </row>
    <row r="39" spans="1:4" x14ac:dyDescent="0.25">
      <c r="A39" s="2" t="str">
        <f>"1.1.2.01.00- CONTAS A RECEBER"</f>
        <v>1.1.2.01.00- CONTAS A RECEBER</v>
      </c>
      <c r="B39" s="10">
        <v>7465860.4100000001</v>
      </c>
      <c r="C39" s="10">
        <v>-3859974.8</v>
      </c>
      <c r="D39" s="10">
        <v>3605885.61</v>
      </c>
    </row>
    <row r="40" spans="1:4" x14ac:dyDescent="0.25">
      <c r="A40" s="2" t="str">
        <f>"1.1.2.01.89- Multas Transporte Coletivo"</f>
        <v>1.1.2.01.89- Multas Transporte Coletivo</v>
      </c>
      <c r="B40" s="10">
        <v>9174125.9399999995</v>
      </c>
      <c r="C40" s="10">
        <v>-4983728.09</v>
      </c>
      <c r="D40" s="10">
        <v>4190397.85</v>
      </c>
    </row>
    <row r="41" spans="1:4" x14ac:dyDescent="0.25">
      <c r="A41" s="2" t="str">
        <f>"1.1.2.01.93- Estacionamento Rotativo a Receber"</f>
        <v>1.1.2.01.93- Estacionamento Rotativo a Receber</v>
      </c>
      <c r="B41" s="10">
        <v>22681.17</v>
      </c>
      <c r="C41" s="10">
        <v>-22681.17</v>
      </c>
      <c r="D41" s="10">
        <v>0</v>
      </c>
    </row>
    <row r="42" spans="1:4" x14ac:dyDescent="0.25">
      <c r="A42" s="2" t="str">
        <f>"1.1.2.01.94- Midia Onibus a Receber"</f>
        <v>1.1.2.01.94- Midia Onibus a Receber</v>
      </c>
      <c r="B42" s="10">
        <v>253567.34</v>
      </c>
      <c r="C42" s="10">
        <v>0</v>
      </c>
      <c r="D42" s="10">
        <v>253567.34</v>
      </c>
    </row>
    <row r="43" spans="1:4" x14ac:dyDescent="0.25">
      <c r="A43" s="2" t="str">
        <f>"1.1.2.01.99- (-) Provisao para Perdas"</f>
        <v>1.1.2.01.99- (-) Provisao para Perdas</v>
      </c>
      <c r="B43" s="10">
        <v>-1984514.04</v>
      </c>
      <c r="C43" s="10">
        <v>1146434.46</v>
      </c>
      <c r="D43" s="10">
        <v>-838079.58</v>
      </c>
    </row>
    <row r="44" spans="1:4" x14ac:dyDescent="0.25">
      <c r="A44" s="2" t="str">
        <f>"1.1.2.04.00- CONVÊNIOS A RECEBER"</f>
        <v>1.1.2.04.00- CONVÊNIOS A RECEBER</v>
      </c>
      <c r="B44" s="10">
        <v>3488.63</v>
      </c>
      <c r="C44" s="10">
        <v>0</v>
      </c>
      <c r="D44" s="10">
        <v>3488.63</v>
      </c>
    </row>
    <row r="45" spans="1:4" x14ac:dyDescent="0.25">
      <c r="A45" s="2" t="str">
        <f>"1.1.2.04.99- Convenios cedidos a receber"</f>
        <v>1.1.2.04.99- Convenios cedidos a receber</v>
      </c>
      <c r="B45" s="10">
        <v>3488.63</v>
      </c>
      <c r="C45" s="10">
        <v>0</v>
      </c>
      <c r="D45" s="10">
        <v>3488.63</v>
      </c>
    </row>
    <row r="46" spans="1:4" x14ac:dyDescent="0.25">
      <c r="A46" s="2" t="str">
        <f>"1.1.2.06.00- ADIANTAMENTO A EMPREGADOS"</f>
        <v>1.1.2.06.00- ADIANTAMENTO A EMPREGADOS</v>
      </c>
      <c r="B46" s="10">
        <v>3534899.31</v>
      </c>
      <c r="C46" s="10">
        <v>-1625351.21</v>
      </c>
      <c r="D46" s="10">
        <v>1909548.1</v>
      </c>
    </row>
    <row r="47" spans="1:4" x14ac:dyDescent="0.25">
      <c r="A47" s="2" t="str">
        <f>"1.1.2.06.01- Adiantamento de Ferias"</f>
        <v>1.1.2.06.01- Adiantamento de Ferias</v>
      </c>
      <c r="B47" s="10">
        <v>553736.52</v>
      </c>
      <c r="C47" s="10">
        <v>1050041.98</v>
      </c>
      <c r="D47" s="10">
        <v>1603778.5</v>
      </c>
    </row>
    <row r="48" spans="1:4" x14ac:dyDescent="0.25">
      <c r="A48" s="2" t="str">
        <f>"1.1.2.06.02- Adiantamento de 13. Salario"</f>
        <v>1.1.2.06.02- Adiantamento de 13. Salario</v>
      </c>
      <c r="B48" s="10">
        <v>2731550.97</v>
      </c>
      <c r="C48" s="10">
        <v>-2731550.97</v>
      </c>
      <c r="D48" s="10">
        <v>0</v>
      </c>
    </row>
    <row r="49" spans="1:4" x14ac:dyDescent="0.25">
      <c r="A49" s="2" t="str">
        <f>"1.1.2.06.03- Adiant. de Salario/Parc. Ferias"</f>
        <v>1.1.2.06.03- Adiant. de Salario/Parc. Ferias</v>
      </c>
      <c r="B49" s="10">
        <v>82738.399999999994</v>
      </c>
      <c r="C49" s="10">
        <v>-19906.580000000002</v>
      </c>
      <c r="D49" s="10">
        <v>62831.82</v>
      </c>
    </row>
    <row r="50" spans="1:4" x14ac:dyDescent="0.25">
      <c r="A50" s="2" t="str">
        <f>"1.1.2.06.07- Adiantamento Pensao s/ Ferias"</f>
        <v>1.1.2.06.07- Adiantamento Pensao s/ Ferias</v>
      </c>
      <c r="B50" s="10">
        <v>166873.42000000001</v>
      </c>
      <c r="C50" s="10">
        <v>76064.36</v>
      </c>
      <c r="D50" s="10">
        <v>242937.78</v>
      </c>
    </row>
    <row r="51" spans="1:4" x14ac:dyDescent="0.25">
      <c r="A51" s="2" t="str">
        <f>"1.1.2.08.00- ALMOXARIFADO"</f>
        <v>1.1.2.08.00- ALMOXARIFADO</v>
      </c>
      <c r="B51" s="10">
        <v>366247.26</v>
      </c>
      <c r="C51" s="10">
        <v>1717.84</v>
      </c>
      <c r="D51" s="10">
        <v>367965.1</v>
      </c>
    </row>
    <row r="52" spans="1:4" x14ac:dyDescent="0.25">
      <c r="A52" s="2" t="str">
        <f>"1.1.2.08.01- Material em Estoque"</f>
        <v>1.1.2.08.01- Material em Estoque</v>
      </c>
      <c r="B52" s="10">
        <v>366247.26</v>
      </c>
      <c r="C52" s="10">
        <v>1717.84</v>
      </c>
      <c r="D52" s="10">
        <v>367965.1</v>
      </c>
    </row>
    <row r="53" spans="1:4" x14ac:dyDescent="0.25">
      <c r="A53" s="2" t="str">
        <f>"1.1.2.10.00- IMPOSTOS E CONTRIB.A RECUPERAR"</f>
        <v>1.1.2.10.00- IMPOSTOS E CONTRIB.A RECUPERAR</v>
      </c>
      <c r="B53" s="10">
        <v>602629.11</v>
      </c>
      <c r="C53" s="10">
        <v>-112110.12</v>
      </c>
      <c r="D53" s="10">
        <v>490518.99</v>
      </c>
    </row>
    <row r="54" spans="1:4" x14ac:dyDescent="0.25">
      <c r="A54" s="2" t="str">
        <f>"1.1.2.10.01- IR s/Aplicacao Financeira"</f>
        <v>1.1.2.10.01- IR s/Aplicacao Financeira</v>
      </c>
      <c r="B54" s="10">
        <v>485034.54</v>
      </c>
      <c r="C54" s="10">
        <v>-104804.72</v>
      </c>
      <c r="D54" s="10">
        <v>380229.82</v>
      </c>
    </row>
    <row r="55" spans="1:4" x14ac:dyDescent="0.25">
      <c r="A55" s="2" t="str">
        <f>"1.1.2.10.08- IRRF a Compensar"</f>
        <v>1.1.2.10.08- IRRF a Compensar</v>
      </c>
      <c r="B55" s="10">
        <v>1454.99</v>
      </c>
      <c r="C55" s="10">
        <v>0</v>
      </c>
      <c r="D55" s="10">
        <v>1454.99</v>
      </c>
    </row>
    <row r="56" spans="1:4" x14ac:dyDescent="0.25">
      <c r="A56" s="2" t="str">
        <f>"1.1.2.10.15- Cofins a Compensar"</f>
        <v>1.1.2.10.15- Cofins a Compensar</v>
      </c>
      <c r="B56" s="10">
        <v>0.09</v>
      </c>
      <c r="C56" s="10">
        <v>-0.01</v>
      </c>
      <c r="D56" s="10">
        <v>0.08</v>
      </c>
    </row>
    <row r="57" spans="1:4" x14ac:dyDescent="0.25">
      <c r="A57" s="2" t="str">
        <f>"1.1.2.10.16- PIS a Compensar"</f>
        <v>1.1.2.10.16- PIS a Compensar</v>
      </c>
      <c r="B57" s="10">
        <v>-0.02</v>
      </c>
      <c r="C57" s="10">
        <v>-0.04</v>
      </c>
      <c r="D57" s="10">
        <v>-0.06</v>
      </c>
    </row>
    <row r="58" spans="1:4" x14ac:dyDescent="0.25">
      <c r="A58" s="2" t="str">
        <f>"1.1.2.10.20- V.M.A PIS a Recuperar"</f>
        <v>1.1.2.10.20- V.M.A PIS a Recuperar</v>
      </c>
      <c r="B58" s="10">
        <v>1714.41</v>
      </c>
      <c r="C58" s="10">
        <v>-1714.41</v>
      </c>
      <c r="D58" s="10">
        <v>0</v>
      </c>
    </row>
    <row r="59" spans="1:4" x14ac:dyDescent="0.25">
      <c r="A59" s="2" t="str">
        <f>"1.1.2.10.21- V.M.A IRRF a Compensar"</f>
        <v>1.1.2.10.21- V.M.A IRRF a Compensar</v>
      </c>
      <c r="B59" s="10">
        <v>563.25</v>
      </c>
      <c r="C59" s="10">
        <v>7.14</v>
      </c>
      <c r="D59" s="10">
        <v>570.39</v>
      </c>
    </row>
    <row r="60" spans="1:4" x14ac:dyDescent="0.25">
      <c r="A60" s="2" t="str">
        <f>"1.1.2.10.22- V.M.A COFINS a Compensar"</f>
        <v>1.1.2.10.22- V.M.A COFINS a Compensar</v>
      </c>
      <c r="B60" s="10">
        <v>5598.08</v>
      </c>
      <c r="C60" s="10">
        <v>-5598.08</v>
      </c>
      <c r="D60" s="10">
        <v>0</v>
      </c>
    </row>
    <row r="61" spans="1:4" x14ac:dyDescent="0.25">
      <c r="A61" s="2" t="str">
        <f>"1.1.2.10.25- INSS a recuperar segurados"</f>
        <v>1.1.2.10.25- INSS a recuperar segurados</v>
      </c>
      <c r="B61" s="10">
        <v>108263.77</v>
      </c>
      <c r="C61" s="10">
        <v>0</v>
      </c>
      <c r="D61" s="10">
        <v>108263.77</v>
      </c>
    </row>
    <row r="62" spans="1:4" x14ac:dyDescent="0.25">
      <c r="A62" s="2" t="str">
        <f>"1.1.2.11.00- DESPESAS ANTECIPADAS"</f>
        <v>1.1.2.11.00- DESPESAS ANTECIPADAS</v>
      </c>
      <c r="B62" s="10">
        <v>7303.36</v>
      </c>
      <c r="C62" s="10">
        <v>-1298.97</v>
      </c>
      <c r="D62" s="10">
        <v>6004.39</v>
      </c>
    </row>
    <row r="63" spans="1:4" x14ac:dyDescent="0.25">
      <c r="A63" s="2" t="str">
        <f>"1.1.2.11.01- Premios de Seguros a Vencer"</f>
        <v>1.1.2.11.01- Premios de Seguros a Vencer</v>
      </c>
      <c r="B63" s="10">
        <v>7303.36</v>
      </c>
      <c r="C63" s="10">
        <v>-1298.97</v>
      </c>
      <c r="D63" s="10">
        <v>6004.39</v>
      </c>
    </row>
    <row r="64" spans="1:4" x14ac:dyDescent="0.25">
      <c r="A64" s="2" t="str">
        <f>"1.1.2.12.00- VALORES VINC.A RECEBER-PAMEH"</f>
        <v>1.1.2.12.00- VALORES VINC.A RECEBER-PAMEH</v>
      </c>
      <c r="B64" s="10">
        <v>790141.02</v>
      </c>
      <c r="C64" s="10">
        <v>144.62</v>
      </c>
      <c r="D64" s="10">
        <v>790285.64</v>
      </c>
    </row>
    <row r="65" spans="1:4" x14ac:dyDescent="0.25">
      <c r="A65" s="2" t="str">
        <f>"1.1.2.12.01- Valores Vinculados-PAMEH"</f>
        <v>1.1.2.12.01- Valores Vinculados-PAMEH</v>
      </c>
      <c r="B65" s="10">
        <v>790141.02</v>
      </c>
      <c r="C65" s="10">
        <v>144.62</v>
      </c>
      <c r="D65" s="10">
        <v>790285.64</v>
      </c>
    </row>
    <row r="66" spans="1:4" x14ac:dyDescent="0.25">
      <c r="A66" s="2" t="str">
        <f>"1.1.2.14.00- CONTAS TRANSITORIAS - GRUPO ATIVO"</f>
        <v>1.1.2.14.00- CONTAS TRANSITORIAS - GRUPO ATIVO</v>
      </c>
      <c r="B66" s="10">
        <v>250573</v>
      </c>
      <c r="C66" s="10">
        <v>2703.01</v>
      </c>
      <c r="D66" s="10">
        <v>253276.01</v>
      </c>
    </row>
    <row r="67" spans="1:4" x14ac:dyDescent="0.25">
      <c r="A67" s="2" t="str">
        <f>"1.1.2.14.05- Transitoria Folha de Pagamento"</f>
        <v>1.1.2.14.05- Transitoria Folha de Pagamento</v>
      </c>
      <c r="B67" s="10">
        <v>250573</v>
      </c>
      <c r="C67" s="10">
        <v>2703.01</v>
      </c>
      <c r="D67" s="10">
        <v>253276.01</v>
      </c>
    </row>
    <row r="68" spans="1:4" x14ac:dyDescent="0.25">
      <c r="A68" s="2" t="str">
        <f>"1.1.2.15.00- CARNE ESTACIONAMENTO ROTATIVO"</f>
        <v>1.1.2.15.00- CARNE ESTACIONAMENTO ROTATIVO</v>
      </c>
      <c r="B68" s="10">
        <v>72259.63</v>
      </c>
      <c r="C68" s="10">
        <v>-12051.6</v>
      </c>
      <c r="D68" s="10">
        <v>60208.03</v>
      </c>
    </row>
    <row r="69" spans="1:4" x14ac:dyDescent="0.25">
      <c r="A69" s="2" t="str">
        <f>"1.1.2.15.01- Carne Rotativo"</f>
        <v>1.1.2.15.01- Carne Rotativo</v>
      </c>
      <c r="B69" s="10">
        <v>72259.63</v>
      </c>
      <c r="C69" s="10">
        <v>-12051.6</v>
      </c>
      <c r="D69" s="10">
        <v>60208.03</v>
      </c>
    </row>
    <row r="70" spans="1:4" x14ac:dyDescent="0.25">
      <c r="A70" s="2" t="str">
        <f>"1.2.0.00.00- ATIVO NAO CIRCULANTE"</f>
        <v>1.2.0.00.00- ATIVO NAO CIRCULANTE</v>
      </c>
      <c r="B70" s="10">
        <v>26022954.739999998</v>
      </c>
      <c r="C70" s="10">
        <v>3221336.01</v>
      </c>
      <c r="D70" s="10">
        <v>29244290.75</v>
      </c>
    </row>
    <row r="71" spans="1:4" x14ac:dyDescent="0.25">
      <c r="A71" s="2" t="str">
        <f>"1.2.1.00.00- REALIZAVEL A LONGO PRAZO"</f>
        <v>1.2.1.00.00- REALIZAVEL A LONGO PRAZO</v>
      </c>
      <c r="B71" s="10">
        <v>24120857.879999999</v>
      </c>
      <c r="C71" s="10">
        <v>3232977.52</v>
      </c>
      <c r="D71" s="10">
        <v>27353835.399999999</v>
      </c>
    </row>
    <row r="72" spans="1:4" x14ac:dyDescent="0.25">
      <c r="A72" s="2" t="str">
        <f>"1.2.1.01.00- CREDITOS E VALORES A RECEBER"</f>
        <v>1.2.1.01.00- CREDITOS E VALORES A RECEBER</v>
      </c>
      <c r="B72" s="10">
        <v>24120857.879999999</v>
      </c>
      <c r="C72" s="10">
        <v>3232977.52</v>
      </c>
      <c r="D72" s="10">
        <v>27353835.399999999</v>
      </c>
    </row>
    <row r="73" spans="1:4" x14ac:dyDescent="0.25">
      <c r="A73" s="2" t="str">
        <f>"1.2.1.01.01- Depositos Judiciais"</f>
        <v>1.2.1.01.01- Depositos Judiciais</v>
      </c>
      <c r="B73" s="10">
        <v>11605402.9</v>
      </c>
      <c r="C73" s="10">
        <v>-936761.05</v>
      </c>
      <c r="D73" s="10">
        <v>10668641.85</v>
      </c>
    </row>
    <row r="74" spans="1:4" x14ac:dyDescent="0.25">
      <c r="A74" s="2" t="str">
        <f>"1.2.1.01.03- Depositos Judiciais de Terceiros"</f>
        <v>1.2.1.01.03- Depositos Judiciais de Terceiros</v>
      </c>
      <c r="B74" s="10">
        <v>925087.39</v>
      </c>
      <c r="C74" s="10">
        <v>3053.36</v>
      </c>
      <c r="D74" s="10">
        <v>928140.75</v>
      </c>
    </row>
    <row r="75" spans="1:4" x14ac:dyDescent="0.25">
      <c r="A75" s="2" t="str">
        <f>"1.2.1.01.04- Convenio Prefeitura Betim"</f>
        <v>1.2.1.01.04- Convenio Prefeitura Betim</v>
      </c>
      <c r="B75" s="10">
        <v>891.18</v>
      </c>
      <c r="C75" s="10">
        <v>0</v>
      </c>
      <c r="D75" s="10">
        <v>891.18</v>
      </c>
    </row>
    <row r="76" spans="1:4" x14ac:dyDescent="0.25">
      <c r="A76" s="2" t="str">
        <f>"1.2.1.01.05- Convenio IPSEMG"</f>
        <v>1.2.1.01.05- Convenio IPSEMG</v>
      </c>
      <c r="B76" s="10">
        <v>21163.53</v>
      </c>
      <c r="C76" s="10">
        <v>0</v>
      </c>
      <c r="D76" s="10">
        <v>21163.53</v>
      </c>
    </row>
    <row r="77" spans="1:4" x14ac:dyDescent="0.25">
      <c r="A77" s="2" t="str">
        <f>"1.2.1.01.06- Multas Transporte Coletivo"</f>
        <v>1.2.1.01.06- Multas Transporte Coletivo</v>
      </c>
      <c r="B77" s="10">
        <v>12853680.960000001</v>
      </c>
      <c r="C77" s="10">
        <v>5395467.5599999996</v>
      </c>
      <c r="D77" s="10">
        <v>18249148.52</v>
      </c>
    </row>
    <row r="78" spans="1:4" x14ac:dyDescent="0.25">
      <c r="A78" s="2" t="str">
        <f>"1.2.1.01.07- (-) Provisao para Perdas"</f>
        <v>1.2.1.01.07- (-) Provisao para Perdas</v>
      </c>
      <c r="B78" s="10">
        <v>-1285368.08</v>
      </c>
      <c r="C78" s="10">
        <v>-1228782.3500000001</v>
      </c>
      <c r="D78" s="10">
        <v>-2514150.4300000002</v>
      </c>
    </row>
    <row r="79" spans="1:4" x14ac:dyDescent="0.25">
      <c r="A79" s="2" t="str">
        <f>"1.3.1.00.00- INVESTIMENTOS"</f>
        <v>1.3.1.00.00- INVESTIMENTOS</v>
      </c>
      <c r="B79" s="10">
        <v>26070</v>
      </c>
      <c r="C79" s="10">
        <v>0</v>
      </c>
      <c r="D79" s="10">
        <v>26070</v>
      </c>
    </row>
    <row r="80" spans="1:4" x14ac:dyDescent="0.25">
      <c r="A80" s="2" t="str">
        <f>"1.3.1.01.00- OUTROS INVESTIMENTOS"</f>
        <v>1.3.1.01.00- OUTROS INVESTIMENTOS</v>
      </c>
      <c r="B80" s="10">
        <v>26070</v>
      </c>
      <c r="C80" s="10">
        <v>0</v>
      </c>
      <c r="D80" s="10">
        <v>26070</v>
      </c>
    </row>
    <row r="81" spans="1:4" x14ac:dyDescent="0.25">
      <c r="A81" s="2" t="str">
        <f>"1.3.1.01.01- Obras de Arte"</f>
        <v>1.3.1.01.01- Obras de Arte</v>
      </c>
      <c r="B81" s="10">
        <v>25200</v>
      </c>
      <c r="C81" s="10">
        <v>0</v>
      </c>
      <c r="D81" s="10">
        <v>25200</v>
      </c>
    </row>
    <row r="82" spans="1:4" x14ac:dyDescent="0.25">
      <c r="A82" s="2" t="str">
        <f>"1.3.1.01.02- Participações Societárias - PBH ATIVOS"</f>
        <v>1.3.1.01.02- Participações Societárias - PBH ATIVOS</v>
      </c>
      <c r="B82" s="10">
        <v>870</v>
      </c>
      <c r="C82" s="10">
        <v>0</v>
      </c>
      <c r="D82" s="10">
        <v>870</v>
      </c>
    </row>
    <row r="83" spans="1:4" x14ac:dyDescent="0.25">
      <c r="A83" s="2" t="str">
        <f>"1.3.2.00.00- IMOBILIZADO"</f>
        <v>1.3.2.00.00- IMOBILIZADO</v>
      </c>
      <c r="B83" s="10">
        <v>7629357.1500000004</v>
      </c>
      <c r="C83" s="10">
        <v>-145893.82</v>
      </c>
      <c r="D83" s="10">
        <v>7483463.3300000001</v>
      </c>
    </row>
    <row r="84" spans="1:4" x14ac:dyDescent="0.25">
      <c r="A84" s="2" t="str">
        <f>"1.3.2.01.01- Maquinas e equipamentos"</f>
        <v>1.3.2.01.01- Maquinas e equipamentos</v>
      </c>
      <c r="B84" s="10">
        <v>242673.08</v>
      </c>
      <c r="C84" s="10">
        <v>-2000</v>
      </c>
      <c r="D84" s="10">
        <v>240673.08</v>
      </c>
    </row>
    <row r="85" spans="1:4" x14ac:dyDescent="0.25">
      <c r="A85" s="2" t="str">
        <f>"1.3.2.02.01- Ferramentas"</f>
        <v>1.3.2.02.01- Ferramentas</v>
      </c>
      <c r="B85" s="10">
        <v>9104.81</v>
      </c>
      <c r="C85" s="10">
        <v>0</v>
      </c>
      <c r="D85" s="10">
        <v>9104.81</v>
      </c>
    </row>
    <row r="86" spans="1:4" x14ac:dyDescent="0.25">
      <c r="A86" s="2" t="str">
        <f>"1.3.2.03.01- Equipamentos de comunicacao"</f>
        <v>1.3.2.03.01- Equipamentos de comunicacao</v>
      </c>
      <c r="B86" s="10">
        <v>171562.01</v>
      </c>
      <c r="C86" s="10">
        <v>0</v>
      </c>
      <c r="D86" s="10">
        <v>171562.01</v>
      </c>
    </row>
    <row r="87" spans="1:4" x14ac:dyDescent="0.25">
      <c r="A87" s="2" t="str">
        <f>"1.3.2.04.01- Instalacoes"</f>
        <v>1.3.2.04.01- Instalacoes</v>
      </c>
      <c r="B87" s="10">
        <v>85222.9</v>
      </c>
      <c r="C87" s="10">
        <v>11500</v>
      </c>
      <c r="D87" s="10">
        <v>96722.9</v>
      </c>
    </row>
    <row r="88" spans="1:4" x14ac:dyDescent="0.25">
      <c r="A88" s="2" t="str">
        <f>"1.3.2.06.01- Moveis e utensilios"</f>
        <v>1.3.2.06.01- Moveis e utensilios</v>
      </c>
      <c r="B88" s="10">
        <v>524059.64</v>
      </c>
      <c r="C88" s="10">
        <v>-3787</v>
      </c>
      <c r="D88" s="10">
        <v>520272.64000000001</v>
      </c>
    </row>
    <row r="89" spans="1:4" x14ac:dyDescent="0.25">
      <c r="A89" s="2" t="str">
        <f>"1.3.2.08.01- Instalacoes administrativas"</f>
        <v>1.3.2.08.01- Instalacoes administrativas</v>
      </c>
      <c r="B89" s="10">
        <v>99146.34</v>
      </c>
      <c r="C89" s="10">
        <v>0</v>
      </c>
      <c r="D89" s="10">
        <v>99146.34</v>
      </c>
    </row>
    <row r="90" spans="1:4" x14ac:dyDescent="0.25">
      <c r="A90" s="2" t="str">
        <f>"1.3.2.09.01- Aparelhos/equipamentos diversos"</f>
        <v>1.3.2.09.01- Aparelhos/equipamentos diversos</v>
      </c>
      <c r="B90" s="10">
        <v>655373.13</v>
      </c>
      <c r="C90" s="10">
        <v>-3330</v>
      </c>
      <c r="D90" s="10">
        <v>652043.13</v>
      </c>
    </row>
    <row r="91" spans="1:4" x14ac:dyDescent="0.25">
      <c r="A91" s="2" t="str">
        <f>"1.3.2.10.01- Equip. p/ processamento de dados"</f>
        <v>1.3.2.10.01- Equip. p/ processamento de dados</v>
      </c>
      <c r="B91" s="10">
        <v>1550246.6</v>
      </c>
      <c r="C91" s="10">
        <v>0</v>
      </c>
      <c r="D91" s="10">
        <v>1550246.6</v>
      </c>
    </row>
    <row r="92" spans="1:4" x14ac:dyDescent="0.25">
      <c r="A92" s="2" t="str">
        <f>"1.3.2.12.01- Micros/impressoras e acessorios"</f>
        <v>1.3.2.12.01- Micros/impressoras e acessorios</v>
      </c>
      <c r="B92" s="10">
        <v>2618044.2000000002</v>
      </c>
      <c r="C92" s="10">
        <v>-148276.82</v>
      </c>
      <c r="D92" s="10">
        <v>2469767.38</v>
      </c>
    </row>
    <row r="93" spans="1:4" x14ac:dyDescent="0.25">
      <c r="A93" s="2" t="str">
        <f>"1.3.2.13.01- Imobilizacao em imoveis de terceiros"</f>
        <v>1.3.2.13.01- Imobilizacao em imoveis de terceiros</v>
      </c>
      <c r="B93" s="10">
        <v>511539.98</v>
      </c>
      <c r="C93" s="10">
        <v>0</v>
      </c>
      <c r="D93" s="10">
        <v>511539.98</v>
      </c>
    </row>
    <row r="94" spans="1:4" x14ac:dyDescent="0.25">
      <c r="A94" s="2" t="str">
        <f>"1.3.2.14.01- Estacao Diamante"</f>
        <v>1.3.2.14.01- Estacao Diamante</v>
      </c>
      <c r="B94" s="10">
        <v>1162384.46</v>
      </c>
      <c r="C94" s="10">
        <v>0</v>
      </c>
      <c r="D94" s="10">
        <v>1162384.46</v>
      </c>
    </row>
    <row r="95" spans="1:4" x14ac:dyDescent="0.25">
      <c r="A95" s="2" t="str">
        <f>"1.3.3.00.00- INTANGIVEL"</f>
        <v>1.3.3.00.00- INTANGIVEL</v>
      </c>
      <c r="B95" s="10">
        <v>37558</v>
      </c>
      <c r="C95" s="10">
        <v>0</v>
      </c>
      <c r="D95" s="10">
        <v>37558</v>
      </c>
    </row>
    <row r="96" spans="1:4" x14ac:dyDescent="0.25">
      <c r="A96" s="2" t="str">
        <f>"1.3.3.03.00- MARCAS E PATENTES"</f>
        <v>1.3.3.03.00- MARCAS E PATENTES</v>
      </c>
      <c r="B96" s="10">
        <v>808</v>
      </c>
      <c r="C96" s="10">
        <v>0</v>
      </c>
      <c r="D96" s="10">
        <v>808</v>
      </c>
    </row>
    <row r="97" spans="1:4" x14ac:dyDescent="0.25">
      <c r="A97" s="2" t="str">
        <f>"1.3.3.03.01- Marcas e Patentes"</f>
        <v>1.3.3.03.01- Marcas e Patentes</v>
      </c>
      <c r="B97" s="10">
        <v>808</v>
      </c>
      <c r="C97" s="10">
        <v>0</v>
      </c>
      <c r="D97" s="10">
        <v>808</v>
      </c>
    </row>
    <row r="98" spans="1:4" x14ac:dyDescent="0.25">
      <c r="A98" s="2" t="str">
        <f>"1.3.3.04.01- Programas e Sistemas"</f>
        <v>1.3.3.04.01- Programas e Sistemas</v>
      </c>
      <c r="B98" s="10">
        <v>36750</v>
      </c>
      <c r="C98" s="10">
        <v>0</v>
      </c>
      <c r="D98" s="10">
        <v>36750</v>
      </c>
    </row>
    <row r="99" spans="1:4" x14ac:dyDescent="0.25">
      <c r="A99" s="2" t="str">
        <f>"1.3.5.00.00- ( - )DEPRECIACAO E AMORTIZACAO"</f>
        <v>1.3.5.00.00- ( - )DEPRECIACAO E AMORTIZACAO</v>
      </c>
      <c r="B99" s="10">
        <v>-5790888.29</v>
      </c>
      <c r="C99" s="10">
        <v>134252.31</v>
      </c>
      <c r="D99" s="10">
        <v>-5656635.9800000004</v>
      </c>
    </row>
    <row r="100" spans="1:4" x14ac:dyDescent="0.25">
      <c r="A100" s="2" t="str">
        <f>"1.3.5.01.00- ( - ) DEPRECIACAO E AMORTIZACAO"</f>
        <v>1.3.5.01.00- ( - ) DEPRECIACAO E AMORTIZACAO</v>
      </c>
      <c r="B100" s="10">
        <v>-5790888.29</v>
      </c>
      <c r="C100" s="10">
        <v>134252.31</v>
      </c>
      <c r="D100" s="10">
        <v>-5656635.9800000004</v>
      </c>
    </row>
    <row r="101" spans="1:4" x14ac:dyDescent="0.25">
      <c r="A101" s="2" t="str">
        <f>"1.3.5.01.01- ( - ) Moveis e Utensilios"</f>
        <v>1.3.5.01.01- ( - ) Moveis e Utensilios</v>
      </c>
      <c r="B101" s="10">
        <v>-451798.48</v>
      </c>
      <c r="C101" s="10">
        <v>1564.96</v>
      </c>
      <c r="D101" s="10">
        <v>-450233.52</v>
      </c>
    </row>
    <row r="102" spans="1:4" x14ac:dyDescent="0.25">
      <c r="A102" s="2" t="str">
        <f>"1.3.5.01.02- ( - ) Aparelhos/Equipamentos Diversos"</f>
        <v>1.3.5.01.02- ( - ) Aparelhos/Equipamentos Diversos</v>
      </c>
      <c r="B102" s="10">
        <v>-404279.47</v>
      </c>
      <c r="C102" s="10">
        <v>-2490.58</v>
      </c>
      <c r="D102" s="10">
        <v>-406770.05</v>
      </c>
    </row>
    <row r="103" spans="1:4" x14ac:dyDescent="0.25">
      <c r="A103" s="2" t="str">
        <f>"1.3.5.01.03- ( - ) Instalacoes Administrativas"</f>
        <v>1.3.5.01.03- ( - ) Instalacoes Administrativas</v>
      </c>
      <c r="B103" s="10">
        <v>-99062.84</v>
      </c>
      <c r="C103" s="10">
        <v>-3.31</v>
      </c>
      <c r="D103" s="10">
        <v>-99066.15</v>
      </c>
    </row>
    <row r="104" spans="1:4" x14ac:dyDescent="0.25">
      <c r="A104" s="2" t="str">
        <f>"1.3.5.01.05- ( - ) Impressoras e Micros"</f>
        <v>1.3.5.01.05- ( - ) Impressoras e Micros</v>
      </c>
      <c r="B104" s="10">
        <v>-3211652.69</v>
      </c>
      <c r="C104" s="10">
        <v>141180.03</v>
      </c>
      <c r="D104" s="10">
        <v>-3070472.66</v>
      </c>
    </row>
    <row r="105" spans="1:4" x14ac:dyDescent="0.25">
      <c r="A105" s="2" t="str">
        <f>"1.3.5.01.06- ( - ) Maquinas e Equipamentos"</f>
        <v>1.3.5.01.06- ( - ) Maquinas e Equipamentos</v>
      </c>
      <c r="B105" s="10">
        <v>-172677.89</v>
      </c>
      <c r="C105" s="10">
        <v>605.08000000000004</v>
      </c>
      <c r="D105" s="10">
        <v>-172072.81</v>
      </c>
    </row>
    <row r="106" spans="1:4" x14ac:dyDescent="0.25">
      <c r="A106" s="2" t="str">
        <f>"1.3.5.01.07- ( - ) Equipamentos de Comunicacao"</f>
        <v>1.3.5.01.07- ( - ) Equipamentos de Comunicacao</v>
      </c>
      <c r="B106" s="10">
        <v>-171512.01</v>
      </c>
      <c r="C106" s="10">
        <v>-5</v>
      </c>
      <c r="D106" s="10">
        <v>-171517.01</v>
      </c>
    </row>
    <row r="107" spans="1:4" x14ac:dyDescent="0.25">
      <c r="A107" s="2" t="str">
        <f>"1.3.5.01.08- ( - ) Instalacoes Operacionais"</f>
        <v>1.3.5.01.08- ( - ) Instalacoes Operacionais</v>
      </c>
      <c r="B107" s="10">
        <v>-69416.69</v>
      </c>
      <c r="C107" s="10">
        <v>-328.7</v>
      </c>
      <c r="D107" s="10">
        <v>-69745.39</v>
      </c>
    </row>
    <row r="108" spans="1:4" x14ac:dyDescent="0.25">
      <c r="A108" s="2" t="str">
        <f>"1.3.5.01.09- ( - ) Programas (Softwares)"</f>
        <v>1.3.5.01.09- ( - ) Programas (Softwares)</v>
      </c>
      <c r="B108" s="10">
        <v>-36092.19</v>
      </c>
      <c r="C108" s="10">
        <v>-657.81</v>
      </c>
      <c r="D108" s="10">
        <v>-36750</v>
      </c>
    </row>
    <row r="109" spans="1:4" x14ac:dyDescent="0.25">
      <c r="A109" s="2" t="str">
        <f>"1.3.5.01.14- ( - ) Ferramentas"</f>
        <v>1.3.5.01.14- ( - ) Ferramentas</v>
      </c>
      <c r="B109" s="10">
        <v>-7802.54</v>
      </c>
      <c r="C109" s="10">
        <v>-32.61</v>
      </c>
      <c r="D109" s="10">
        <v>-7835.15</v>
      </c>
    </row>
    <row r="110" spans="1:4" x14ac:dyDescent="0.25">
      <c r="A110" s="2" t="str">
        <f>"1.3.5.01.15- ( - ) Imobilizacoes em Imov. Terceiros"</f>
        <v>1.3.5.01.15- ( - ) Imobilizacoes em Imov. Terceiros</v>
      </c>
      <c r="B110" s="10">
        <v>-1166593.49</v>
      </c>
      <c r="C110" s="10">
        <v>-5579.75</v>
      </c>
      <c r="D110" s="10">
        <v>-1172173.24</v>
      </c>
    </row>
    <row r="111" spans="1:4" x14ac:dyDescent="0.25">
      <c r="A111" s="2" t="str">
        <f>""</f>
        <v/>
      </c>
      <c r="B111" s="3" t="str">
        <f>""</f>
        <v/>
      </c>
      <c r="C111" s="3" t="str">
        <f>""</f>
        <v/>
      </c>
      <c r="D111" s="3" t="str">
        <f>""</f>
        <v/>
      </c>
    </row>
    <row r="112" spans="1:4" x14ac:dyDescent="0.25">
      <c r="A112" s="2" t="str">
        <f>"PASSIVO"</f>
        <v>PASSIVO</v>
      </c>
      <c r="B112" s="3" t="str">
        <f>""</f>
        <v/>
      </c>
      <c r="C112" s="3" t="str">
        <f>""</f>
        <v/>
      </c>
      <c r="D112" s="3" t="str">
        <f>""</f>
        <v/>
      </c>
    </row>
    <row r="113" spans="1:4" x14ac:dyDescent="0.25">
      <c r="A113" s="2" t="str">
        <f>"2.0.0.00.00- PASSIVO"</f>
        <v>2.0.0.00.00- PASSIVO</v>
      </c>
      <c r="B113" s="10">
        <v>65517070.619999997</v>
      </c>
      <c r="C113" s="10">
        <v>2384900.25</v>
      </c>
      <c r="D113" s="10">
        <v>67901970.870000005</v>
      </c>
    </row>
    <row r="114" spans="1:4" x14ac:dyDescent="0.25">
      <c r="A114" s="2" t="str">
        <f>"2.1.0.00.00- PASSIVO CIRCULANTE"</f>
        <v>2.1.0.00.00- PASSIVO CIRCULANTE</v>
      </c>
      <c r="B114" s="10">
        <v>95224892.989999995</v>
      </c>
      <c r="C114" s="10">
        <v>-71589518.430000007</v>
      </c>
      <c r="D114" s="10">
        <v>23635374.559999999</v>
      </c>
    </row>
    <row r="115" spans="1:4" x14ac:dyDescent="0.25">
      <c r="A115" s="2" t="str">
        <f>"2.1.1.00.00- OBRIGACOES COM PESSOAL"</f>
        <v>2.1.1.00.00- OBRIGACOES COM PESSOAL</v>
      </c>
      <c r="B115" s="10">
        <v>19875986.899999999</v>
      </c>
      <c r="C115" s="10">
        <v>-9562137.9900000002</v>
      </c>
      <c r="D115" s="10">
        <v>10313848.91</v>
      </c>
    </row>
    <row r="116" spans="1:4" x14ac:dyDescent="0.25">
      <c r="A116" s="2" t="str">
        <f>"2.1.1.01.00- SALARIOS A PAGAR"</f>
        <v>2.1.1.01.00- SALARIOS A PAGAR</v>
      </c>
      <c r="B116" s="10">
        <v>19875986.899999999</v>
      </c>
      <c r="C116" s="10">
        <v>-9562137.9900000002</v>
      </c>
      <c r="D116" s="10">
        <v>10313848.91</v>
      </c>
    </row>
    <row r="117" spans="1:4" x14ac:dyDescent="0.25">
      <c r="A117" s="2" t="str">
        <f>"2.1.1.01.01- Salarios a Pagar"</f>
        <v>2.1.1.01.01- Salarios a Pagar</v>
      </c>
      <c r="B117" s="10">
        <v>4745454.32</v>
      </c>
      <c r="C117" s="10">
        <v>-4671571.87</v>
      </c>
      <c r="D117" s="10">
        <v>73882.45</v>
      </c>
    </row>
    <row r="118" spans="1:4" x14ac:dyDescent="0.25">
      <c r="A118" s="2" t="str">
        <f>"2.1.1.01.02- Provisão 13º Salário"</f>
        <v>2.1.1.01.02- Provisão 13º Salário</v>
      </c>
      <c r="B118" s="10">
        <v>5325378.58</v>
      </c>
      <c r="C118" s="10">
        <v>-5325378.58</v>
      </c>
      <c r="D118" s="10">
        <v>0</v>
      </c>
    </row>
    <row r="119" spans="1:4" x14ac:dyDescent="0.25">
      <c r="A119" s="2" t="str">
        <f>"2.1.1.01.03- Ferias a pagar"</f>
        <v>2.1.1.01.03- Ferias a pagar</v>
      </c>
      <c r="B119" s="10">
        <v>103583.72</v>
      </c>
      <c r="C119" s="10">
        <v>445314.01</v>
      </c>
      <c r="D119" s="10">
        <v>548897.73</v>
      </c>
    </row>
    <row r="120" spans="1:4" x14ac:dyDescent="0.25">
      <c r="A120" s="2" t="str">
        <f>"2.1.1.01.05- Rescisoes a Pagar"</f>
        <v>2.1.1.01.05- Rescisoes a Pagar</v>
      </c>
      <c r="B120" s="10">
        <v>849.8</v>
      </c>
      <c r="C120" s="10">
        <v>-849.8</v>
      </c>
      <c r="D120" s="10">
        <v>0</v>
      </c>
    </row>
    <row r="121" spans="1:4" x14ac:dyDescent="0.25">
      <c r="A121" s="2" t="str">
        <f>"2.1.1.01.09- Provisao de Ferias"</f>
        <v>2.1.1.01.09- Provisao de Ferias</v>
      </c>
      <c r="B121" s="10">
        <v>7851878.8200000003</v>
      </c>
      <c r="C121" s="10">
        <v>316982.33</v>
      </c>
      <c r="D121" s="10">
        <v>8168861.1500000004</v>
      </c>
    </row>
    <row r="122" spans="1:4" x14ac:dyDescent="0.25">
      <c r="A122" s="2" t="str">
        <f>"2.1.1.01.11- Indenizações trabalhistas - ACT"</f>
        <v>2.1.1.01.11- Indenizações trabalhistas - ACT</v>
      </c>
      <c r="B122" s="10">
        <v>1848841.66</v>
      </c>
      <c r="C122" s="10">
        <v>-326634.08</v>
      </c>
      <c r="D122" s="10">
        <v>1522207.58</v>
      </c>
    </row>
    <row r="123" spans="1:4" x14ac:dyDescent="0.25">
      <c r="A123" s="2" t="str">
        <f>"2.1.2.00.00- OBRIGACOES SOCIAIS A CURTO PRAZO"</f>
        <v>2.1.2.00.00- OBRIGACOES SOCIAIS A CURTO PRAZO</v>
      </c>
      <c r="B123" s="10">
        <v>8134763.5800000001</v>
      </c>
      <c r="C123" s="10">
        <v>-1367197.53</v>
      </c>
      <c r="D123" s="10">
        <v>6767566.0499999998</v>
      </c>
    </row>
    <row r="124" spans="1:4" x14ac:dyDescent="0.25">
      <c r="A124" s="2" t="str">
        <f>"2.1.2.01.00- OBRIGACOES SOCIAIS A RECOLHER"</f>
        <v>2.1.2.01.00- OBRIGACOES SOCIAIS A RECOLHER</v>
      </c>
      <c r="B124" s="10">
        <v>8134763.5800000001</v>
      </c>
      <c r="C124" s="10">
        <v>-1367197.53</v>
      </c>
      <c r="D124" s="10">
        <v>6767566.0499999998</v>
      </c>
    </row>
    <row r="125" spans="1:4" x14ac:dyDescent="0.25">
      <c r="A125" s="2" t="str">
        <f>"2.1.2.01.01- INSS a recolher s/Folha Pagto"</f>
        <v>2.1.2.01.01- INSS a recolher s/Folha Pagto</v>
      </c>
      <c r="B125" s="10">
        <v>2331479.69</v>
      </c>
      <c r="C125" s="10">
        <v>4464.71</v>
      </c>
      <c r="D125" s="10">
        <v>2335944.4</v>
      </c>
    </row>
    <row r="126" spans="1:4" x14ac:dyDescent="0.25">
      <c r="A126" s="2" t="str">
        <f>"2.1.2.01.02- FGTS a recolher s/Folha Pagto"</f>
        <v>2.1.2.01.02- FGTS a recolher s/Folha Pagto</v>
      </c>
      <c r="B126" s="10">
        <v>532146.63</v>
      </c>
      <c r="C126" s="10">
        <v>267830.43</v>
      </c>
      <c r="D126" s="10">
        <v>799977.06</v>
      </c>
    </row>
    <row r="127" spans="1:4" x14ac:dyDescent="0.25">
      <c r="A127" s="2" t="str">
        <f>"2.1.2.01.05- Contribuicao Sindical"</f>
        <v>2.1.2.01.05- Contribuicao Sindical</v>
      </c>
      <c r="B127" s="10">
        <v>7461.34</v>
      </c>
      <c r="C127" s="10">
        <v>-30.9</v>
      </c>
      <c r="D127" s="10">
        <v>7430.44</v>
      </c>
    </row>
    <row r="128" spans="1:4" x14ac:dyDescent="0.25">
      <c r="A128" s="2" t="str">
        <f>"2.1.2.01.06- INSS s/Provisao de Ferias"</f>
        <v>2.1.2.01.06- INSS s/Provisao de Ferias</v>
      </c>
      <c r="B128" s="10">
        <v>2249600.9700000002</v>
      </c>
      <c r="C128" s="10">
        <v>90882.17</v>
      </c>
      <c r="D128" s="10">
        <v>2340483.14</v>
      </c>
    </row>
    <row r="129" spans="1:4" x14ac:dyDescent="0.25">
      <c r="A129" s="2" t="str">
        <f>"2.1.2.01.07- AEB - Assoc. Empreg. BHTRANS"</f>
        <v>2.1.2.01.07- AEB - Assoc. Empreg. BHTRANS</v>
      </c>
      <c r="B129" s="10">
        <v>4794.47</v>
      </c>
      <c r="C129" s="10">
        <v>57.77</v>
      </c>
      <c r="D129" s="10">
        <v>4852.24</v>
      </c>
    </row>
    <row r="130" spans="1:4" x14ac:dyDescent="0.25">
      <c r="A130" s="2" t="str">
        <f>"2.1.2.01.10- INSS s/Provisao de 13.Salario"</f>
        <v>2.1.2.01.10- INSS s/Provisao de 13.Salario</v>
      </c>
      <c r="B130" s="10">
        <v>1527461.81</v>
      </c>
      <c r="C130" s="10">
        <v>-1527461.81</v>
      </c>
      <c r="D130" s="10">
        <v>0</v>
      </c>
    </row>
    <row r="131" spans="1:4" x14ac:dyDescent="0.25">
      <c r="A131" s="2" t="str">
        <f>"2.1.2.01.11- FGTS s/Provisao de 13.Salario"</f>
        <v>2.1.2.01.11- FGTS s/Provisao de 13.Salario</v>
      </c>
      <c r="B131" s="10">
        <v>208689.05</v>
      </c>
      <c r="C131" s="10">
        <v>-208689.05</v>
      </c>
      <c r="D131" s="10">
        <v>0</v>
      </c>
    </row>
    <row r="132" spans="1:4" x14ac:dyDescent="0.25">
      <c r="A132" s="2" t="str">
        <f>"2.1.2.01.12- FGTS s/Provisao de Ferias"</f>
        <v>2.1.2.01.12- FGTS s/Provisao de Ferias</v>
      </c>
      <c r="B132" s="10">
        <v>627470.26</v>
      </c>
      <c r="C132" s="10">
        <v>25346.25</v>
      </c>
      <c r="D132" s="10">
        <v>652816.51</v>
      </c>
    </row>
    <row r="133" spans="1:4" x14ac:dyDescent="0.25">
      <c r="A133" s="2" t="str">
        <f>"2.1.2.01.13- Contribuicao ao PAMEH"</f>
        <v>2.1.2.01.13- Contribuicao ao PAMEH</v>
      </c>
      <c r="B133" s="10">
        <v>466351.12</v>
      </c>
      <c r="C133" s="10">
        <v>-1056.53</v>
      </c>
      <c r="D133" s="10">
        <v>465294.59</v>
      </c>
    </row>
    <row r="134" spans="1:4" x14ac:dyDescent="0.25">
      <c r="A134" s="2" t="str">
        <f>"2.1.2.01.15- Crediserv-BH"</f>
        <v>2.1.2.01.15- Crediserv-BH</v>
      </c>
      <c r="B134" s="10">
        <v>18159.05</v>
      </c>
      <c r="C134" s="10">
        <v>-378.47</v>
      </c>
      <c r="D134" s="10">
        <v>17780.580000000002</v>
      </c>
    </row>
    <row r="135" spans="1:4" x14ac:dyDescent="0.25">
      <c r="A135" s="2" t="str">
        <f>"2.1.2.01.16- INSS Fonte a Recolher - PJ"</f>
        <v>2.1.2.01.16- INSS Fonte a Recolher - PJ</v>
      </c>
      <c r="B135" s="10">
        <v>160206.13</v>
      </c>
      <c r="C135" s="10">
        <v>-18147.28</v>
      </c>
      <c r="D135" s="10">
        <v>142058.85</v>
      </c>
    </row>
    <row r="136" spans="1:4" x14ac:dyDescent="0.25">
      <c r="A136" s="2" t="str">
        <f>"2.1.2.01.18- INSS Fonte a Recolher - P F"</f>
        <v>2.1.2.01.18- INSS Fonte a Recolher - P F</v>
      </c>
      <c r="B136" s="10">
        <v>943.06</v>
      </c>
      <c r="C136" s="10">
        <v>-14.82</v>
      </c>
      <c r="D136" s="10">
        <v>928.24</v>
      </c>
    </row>
    <row r="137" spans="1:4" x14ac:dyDescent="0.25">
      <c r="A137" s="2" t="str">
        <f>"2.1.3.00.00- OBRIGACOES FISCAIS A CURTO PRAZO"</f>
        <v>2.1.3.00.00- OBRIGACOES FISCAIS A CURTO PRAZO</v>
      </c>
      <c r="B137" s="10">
        <v>2120219.06</v>
      </c>
      <c r="C137" s="10">
        <v>816805.36</v>
      </c>
      <c r="D137" s="10">
        <v>2937024.42</v>
      </c>
    </row>
    <row r="138" spans="1:4" x14ac:dyDescent="0.25">
      <c r="A138" s="2" t="str">
        <f>"2.1.3.01.00- IMPOSTOS E TAXAS A RECOLHER"</f>
        <v>2.1.3.01.00- IMPOSTOS E TAXAS A RECOLHER</v>
      </c>
      <c r="B138" s="10">
        <v>2120219.06</v>
      </c>
      <c r="C138" s="10">
        <v>816805.36</v>
      </c>
      <c r="D138" s="10">
        <v>2937024.42</v>
      </c>
    </row>
    <row r="139" spans="1:4" x14ac:dyDescent="0.25">
      <c r="A139" s="2" t="str">
        <f>"2.1.3.01.01- IRRF Fonte Folha Pagto"</f>
        <v>2.1.3.01.01- IRRF Fonte Folha Pagto</v>
      </c>
      <c r="B139" s="10">
        <v>722933.34</v>
      </c>
      <c r="C139" s="10">
        <v>799855.58</v>
      </c>
      <c r="D139" s="10">
        <v>1522788.92</v>
      </c>
    </row>
    <row r="140" spans="1:4" x14ac:dyDescent="0.25">
      <c r="A140" s="2" t="str">
        <f>"2.1.3.01.03- IRRF Fonte - Pessoa  Juridica e Física"</f>
        <v>2.1.3.01.03- IRRF Fonte - Pessoa  Juridica e Física</v>
      </c>
      <c r="B140" s="10">
        <v>21191.57</v>
      </c>
      <c r="C140" s="10">
        <v>4786.6400000000003</v>
      </c>
      <c r="D140" s="10">
        <v>25978.21</v>
      </c>
    </row>
    <row r="141" spans="1:4" x14ac:dyDescent="0.25">
      <c r="A141" s="2" t="str">
        <f>"2.1.3.01.05- ISS S/ Faturamento"</f>
        <v>2.1.3.01.05- ISS S/ Faturamento</v>
      </c>
      <c r="B141" s="10">
        <v>2774.54</v>
      </c>
      <c r="C141" s="10">
        <v>-279.52</v>
      </c>
      <c r="D141" s="10">
        <v>2495.02</v>
      </c>
    </row>
    <row r="142" spans="1:4" x14ac:dyDescent="0.25">
      <c r="A142" s="2" t="str">
        <f>"2.1.3.01.07- COFINS a Recolher"</f>
        <v>2.1.3.01.07- COFINS a Recolher</v>
      </c>
      <c r="B142" s="10">
        <v>1047342.01</v>
      </c>
      <c r="C142" s="10">
        <v>10304.76</v>
      </c>
      <c r="D142" s="10">
        <v>1057646.77</v>
      </c>
    </row>
    <row r="143" spans="1:4" x14ac:dyDescent="0.25">
      <c r="A143" s="2" t="str">
        <f>"2.1.3.01.08- PIS a Recolher"</f>
        <v>2.1.3.01.08- PIS a Recolher</v>
      </c>
      <c r="B143" s="10">
        <v>227122.48</v>
      </c>
      <c r="C143" s="10">
        <v>2237.94</v>
      </c>
      <c r="D143" s="10">
        <v>229360.42</v>
      </c>
    </row>
    <row r="144" spans="1:4" x14ac:dyDescent="0.25">
      <c r="A144" s="2" t="str">
        <f>"2.1.3.01.09- ISS Fonte a Recolher P.Juridica"</f>
        <v>2.1.3.01.09- ISS Fonte a Recolher P.Juridica</v>
      </c>
      <c r="B144" s="10">
        <v>2424.69</v>
      </c>
      <c r="C144" s="10">
        <v>-393.71</v>
      </c>
      <c r="D144" s="10">
        <v>2030.98</v>
      </c>
    </row>
    <row r="145" spans="1:4" x14ac:dyDescent="0.25">
      <c r="A145" s="2" t="str">
        <f>"2.1.3.01.12- CSLL-COFINS-PIS - FONTE"</f>
        <v>2.1.3.01.12- CSLL-COFINS-PIS - FONTE</v>
      </c>
      <c r="B145" s="10">
        <v>96430.43</v>
      </c>
      <c r="C145" s="10">
        <v>293.67</v>
      </c>
      <c r="D145" s="10">
        <v>96724.1</v>
      </c>
    </row>
    <row r="146" spans="1:4" x14ac:dyDescent="0.25">
      <c r="A146" s="2" t="str">
        <f>"2.1.4.00.00- OUTRAS OBRIGACOES A CURTO PRAZO"</f>
        <v>2.1.4.00.00- OUTRAS OBRIGACOES A CURTO PRAZO</v>
      </c>
      <c r="B146" s="10">
        <v>65040309.630000003</v>
      </c>
      <c r="C146" s="10">
        <v>-61468781.369999997</v>
      </c>
      <c r="D146" s="10">
        <v>3571528.26</v>
      </c>
    </row>
    <row r="147" spans="1:4" x14ac:dyDescent="0.25">
      <c r="A147" s="2" t="str">
        <f>"2.1.4.01.00- FORNECEDORES"</f>
        <v>2.1.4.01.00- FORNECEDORES</v>
      </c>
      <c r="B147" s="10">
        <v>4224276.3099999996</v>
      </c>
      <c r="C147" s="10">
        <v>-1632575.48</v>
      </c>
      <c r="D147" s="10">
        <v>2591700.83</v>
      </c>
    </row>
    <row r="148" spans="1:4" x14ac:dyDescent="0.25">
      <c r="A148" s="2" t="str">
        <f>"2.1.4.01.98- Fornecedores - Pameh"</f>
        <v>2.1.4.01.98- Fornecedores - Pameh</v>
      </c>
      <c r="B148" s="10">
        <v>954.97</v>
      </c>
      <c r="C148" s="10">
        <v>-954.97</v>
      </c>
      <c r="D148" s="10">
        <v>0</v>
      </c>
    </row>
    <row r="149" spans="1:4" x14ac:dyDescent="0.25">
      <c r="A149" s="2" t="str">
        <f>"2.1.4.01.99- Fornecedores"</f>
        <v>2.1.4.01.99- Fornecedores</v>
      </c>
      <c r="B149" s="10">
        <v>4223321.34</v>
      </c>
      <c r="C149" s="10">
        <v>-1631620.51</v>
      </c>
      <c r="D149" s="10">
        <v>2591700.83</v>
      </c>
    </row>
    <row r="150" spans="1:4" x14ac:dyDescent="0.25">
      <c r="A150" s="2" t="str">
        <f>"2.1.4.02.00- CONTAS A PAGAR"</f>
        <v>2.1.4.02.00- CONTAS A PAGAR</v>
      </c>
      <c r="B150" s="10">
        <v>689183.51</v>
      </c>
      <c r="C150" s="10">
        <v>-367203.41</v>
      </c>
      <c r="D150" s="10">
        <v>321980.09999999998</v>
      </c>
    </row>
    <row r="151" spans="1:4" x14ac:dyDescent="0.25">
      <c r="A151" s="2" t="str">
        <f>"2.1.4.02.01- Emprestimo Consignado - Bradesco"</f>
        <v>2.1.4.02.01- Emprestimo Consignado - Bradesco</v>
      </c>
      <c r="B151" s="10">
        <v>145349.59</v>
      </c>
      <c r="C151" s="10">
        <v>2341.58</v>
      </c>
      <c r="D151" s="10">
        <v>147691.17000000001</v>
      </c>
    </row>
    <row r="152" spans="1:4" x14ac:dyDescent="0.25">
      <c r="A152" s="2" t="str">
        <f>"2.1.4.02.03- Emprestimo Consignado - CEF"</f>
        <v>2.1.4.02.03- Emprestimo Consignado - CEF</v>
      </c>
      <c r="B152" s="10">
        <v>21602.39</v>
      </c>
      <c r="C152" s="10">
        <v>-397.74</v>
      </c>
      <c r="D152" s="10">
        <v>21204.65</v>
      </c>
    </row>
    <row r="153" spans="1:4" x14ac:dyDescent="0.25">
      <c r="A153" s="2" t="str">
        <f>"2.1.4.02.04- Emprestimo Consignado - B.Brasil"</f>
        <v>2.1.4.02.04- Emprestimo Consignado - B.Brasil</v>
      </c>
      <c r="B153" s="10">
        <v>64028.51</v>
      </c>
      <c r="C153" s="10">
        <v>-1099.28</v>
      </c>
      <c r="D153" s="10">
        <v>62929.23</v>
      </c>
    </row>
    <row r="154" spans="1:4" x14ac:dyDescent="0.25">
      <c r="A154" s="2" t="str">
        <f>"2.1.4.02.05- Emprestimo Consignado-Banco Alfa"</f>
        <v>2.1.4.02.05- Emprestimo Consignado-Banco Alfa</v>
      </c>
      <c r="B154" s="10">
        <v>46922.15</v>
      </c>
      <c r="C154" s="10">
        <v>-1081.55</v>
      </c>
      <c r="D154" s="10">
        <v>45840.6</v>
      </c>
    </row>
    <row r="155" spans="1:4" x14ac:dyDescent="0.25">
      <c r="A155" s="2" t="str">
        <f>"2.1.4.02.07- Emprestimo Consignado - B. Safra"</f>
        <v>2.1.4.02.07- Emprestimo Consignado - B. Safra</v>
      </c>
      <c r="B155" s="10">
        <v>9711.3799999999992</v>
      </c>
      <c r="C155" s="10">
        <v>490</v>
      </c>
      <c r="D155" s="10">
        <v>10201.379999999999</v>
      </c>
    </row>
    <row r="156" spans="1:4" x14ac:dyDescent="0.25">
      <c r="A156" s="2" t="str">
        <f>"2.1.4.02.10- Cartão - BMG Card"</f>
        <v>2.1.4.02.10- Cartão - BMG Card</v>
      </c>
      <c r="B156" s="10">
        <v>9845.0300000000007</v>
      </c>
      <c r="C156" s="10">
        <v>-448.81</v>
      </c>
      <c r="D156" s="10">
        <v>9396.2199999999993</v>
      </c>
    </row>
    <row r="157" spans="1:4" x14ac:dyDescent="0.25">
      <c r="A157" s="2" t="str">
        <f>"2.1.4.02.11- Contrib.Entid.Classe"</f>
        <v>2.1.4.02.11- Contrib.Entid.Classe</v>
      </c>
      <c r="B157" s="10">
        <v>0</v>
      </c>
      <c r="C157" s="10">
        <v>2853.8</v>
      </c>
      <c r="D157" s="10">
        <v>2853.8</v>
      </c>
    </row>
    <row r="158" spans="1:4" x14ac:dyDescent="0.25">
      <c r="A158" s="2" t="str">
        <f>"2.1.4.02.12- Custas judiciais"</f>
        <v>2.1.4.02.12- Custas judiciais</v>
      </c>
      <c r="B158" s="10">
        <v>1137.05</v>
      </c>
      <c r="C158" s="10">
        <v>408.4</v>
      </c>
      <c r="D158" s="10">
        <v>1545.45</v>
      </c>
    </row>
    <row r="159" spans="1:4" x14ac:dyDescent="0.25">
      <c r="A159" s="2" t="str">
        <f>"2.1.4.02.99- Contas a Pagar"</f>
        <v>2.1.4.02.99- Contas a Pagar</v>
      </c>
      <c r="B159" s="10">
        <v>390587.41</v>
      </c>
      <c r="C159" s="10">
        <v>-370269.81</v>
      </c>
      <c r="D159" s="10">
        <v>20317.599999999999</v>
      </c>
    </row>
    <row r="160" spans="1:4" x14ac:dyDescent="0.25">
      <c r="A160" s="2" t="str">
        <f>"2.1.4.03.00- CREDORES DIVERSOS"</f>
        <v>2.1.4.03.00- CREDORES DIVERSOS</v>
      </c>
      <c r="B160" s="10">
        <v>59406362.479999997</v>
      </c>
      <c r="C160" s="10">
        <v>-59406362.479999997</v>
      </c>
      <c r="D160" s="10">
        <v>0</v>
      </c>
    </row>
    <row r="161" spans="1:4" x14ac:dyDescent="0.25">
      <c r="A161" s="2" t="str">
        <f>"2.1.4.03.07- Adiantamento Acionista - Municipio BH"</f>
        <v>2.1.4.03.07- Adiantamento Acionista - Municipio BH</v>
      </c>
      <c r="B161" s="10">
        <v>59406362.479999997</v>
      </c>
      <c r="C161" s="10">
        <v>-59406362.479999997</v>
      </c>
      <c r="D161" s="10">
        <v>0</v>
      </c>
    </row>
    <row r="162" spans="1:4" x14ac:dyDescent="0.25">
      <c r="A162" s="2" t="str">
        <f>"2.1.4.04.00- CAUCAO DE TERCEIROS/LEILAO"</f>
        <v>2.1.4.04.00- CAUCAO DE TERCEIROS/LEILAO</v>
      </c>
      <c r="B162" s="10">
        <v>720487.33</v>
      </c>
      <c r="C162" s="10">
        <v>-62640</v>
      </c>
      <c r="D162" s="10">
        <v>657847.32999999996</v>
      </c>
    </row>
    <row r="163" spans="1:4" x14ac:dyDescent="0.25">
      <c r="A163" s="2" t="str">
        <f>"2.1.4.04.98- Leilões"</f>
        <v>2.1.4.04.98- Leilões</v>
      </c>
      <c r="B163" s="10">
        <v>554111.25</v>
      </c>
      <c r="C163" s="10">
        <v>0</v>
      </c>
      <c r="D163" s="10">
        <v>554111.25</v>
      </c>
    </row>
    <row r="164" spans="1:4" x14ac:dyDescent="0.25">
      <c r="A164" s="2" t="str">
        <f>"2.1.4.04.99- Caucao de Terceiros"</f>
        <v>2.1.4.04.99- Caucao de Terceiros</v>
      </c>
      <c r="B164" s="10">
        <v>166376.07999999999</v>
      </c>
      <c r="C164" s="10">
        <v>-62640</v>
      </c>
      <c r="D164" s="10">
        <v>103736.08</v>
      </c>
    </row>
    <row r="165" spans="1:4" x14ac:dyDescent="0.25">
      <c r="A165" s="2" t="str">
        <f>"2.1.6.00.00- OBRIGACOES VINC. A PAGAR-PAMEH"</f>
        <v>2.1.6.00.00- OBRIGACOES VINC. A PAGAR-PAMEH</v>
      </c>
      <c r="B165" s="10">
        <v>53613.82</v>
      </c>
      <c r="C165" s="10">
        <v>-8206.9</v>
      </c>
      <c r="D165" s="10">
        <v>45406.92</v>
      </c>
    </row>
    <row r="166" spans="1:4" x14ac:dyDescent="0.25">
      <c r="A166" s="2" t="str">
        <f>"2.1.6.01.00- OBRIGACOES VINC. -PAMEH"</f>
        <v>2.1.6.01.00- OBRIGACOES VINC. -PAMEH</v>
      </c>
      <c r="B166" s="10">
        <v>53613.82</v>
      </c>
      <c r="C166" s="10">
        <v>-8206.9</v>
      </c>
      <c r="D166" s="10">
        <v>45406.92</v>
      </c>
    </row>
    <row r="167" spans="1:4" x14ac:dyDescent="0.25">
      <c r="A167" s="2" t="str">
        <f>"2.1.6.01.01- Obrigacoes Vinculadas - PAMEH"</f>
        <v>2.1.6.01.01- Obrigacoes Vinculadas - PAMEH</v>
      </c>
      <c r="B167" s="10">
        <v>53613.82</v>
      </c>
      <c r="C167" s="10">
        <v>-8206.9</v>
      </c>
      <c r="D167" s="10">
        <v>45406.92</v>
      </c>
    </row>
    <row r="168" spans="1:4" x14ac:dyDescent="0.25">
      <c r="A168" s="2" t="str">
        <f>"2.2.0.00.00- PASSIVO NAO CIRCULANTE"</f>
        <v>2.2.0.00.00- PASSIVO NAO CIRCULANTE</v>
      </c>
      <c r="B168" s="10">
        <v>46606601.130000003</v>
      </c>
      <c r="C168" s="10">
        <v>73986470.280000001</v>
      </c>
      <c r="D168" s="10">
        <v>120593071.41</v>
      </c>
    </row>
    <row r="169" spans="1:4" x14ac:dyDescent="0.25">
      <c r="A169" s="2" t="str">
        <f>"2.2.4.00.00- OUTRAS OBRIGACOES A LONGO PRAZO"</f>
        <v>2.2.4.00.00- OUTRAS OBRIGACOES A LONGO PRAZO</v>
      </c>
      <c r="B169" s="10">
        <v>44457209.969999999</v>
      </c>
      <c r="C169" s="10">
        <v>73964820.310000002</v>
      </c>
      <c r="D169" s="10">
        <v>118422030.28</v>
      </c>
    </row>
    <row r="170" spans="1:4" x14ac:dyDescent="0.25">
      <c r="A170" s="2" t="str">
        <f>"2.2.4.01.00- CREDORES DIVERSOS"</f>
        <v>2.2.4.01.00- CREDORES DIVERSOS</v>
      </c>
      <c r="B170" s="10">
        <v>10868557.66</v>
      </c>
      <c r="C170" s="10">
        <v>72670445.870000005</v>
      </c>
      <c r="D170" s="10">
        <v>83539003.530000001</v>
      </c>
    </row>
    <row r="171" spans="1:4" x14ac:dyDescent="0.25">
      <c r="A171" s="2" t="str">
        <f>"2.2.4.01.04- Provisão para Contingências Fiscais"</f>
        <v>2.2.4.01.04- Provisão para Contingências Fiscais</v>
      </c>
      <c r="B171" s="10">
        <v>9926702.7200000007</v>
      </c>
      <c r="C171" s="10">
        <v>6667754.0800000001</v>
      </c>
      <c r="D171" s="10">
        <v>16594456.800000001</v>
      </c>
    </row>
    <row r="172" spans="1:4" x14ac:dyDescent="0.25">
      <c r="A172" s="2" t="str">
        <f>"2.2.4.01.05- INSS Segurados"</f>
        <v>2.2.4.01.05- INSS Segurados</v>
      </c>
      <c r="B172" s="10">
        <v>941854.94</v>
      </c>
      <c r="C172" s="10">
        <v>0</v>
      </c>
      <c r="D172" s="10">
        <v>941854.94</v>
      </c>
    </row>
    <row r="173" spans="1:4" x14ac:dyDescent="0.25">
      <c r="A173" s="2" t="str">
        <f>"2.2.4.01.06- Adiantamento Acionista - Municipio BH"</f>
        <v>2.2.4.01.06- Adiantamento Acionista - Municipio BH</v>
      </c>
      <c r="B173" s="10">
        <v>0</v>
      </c>
      <c r="C173" s="10">
        <v>66002691.789999999</v>
      </c>
      <c r="D173" s="10">
        <v>66002691.789999999</v>
      </c>
    </row>
    <row r="174" spans="1:4" x14ac:dyDescent="0.25">
      <c r="A174" s="2" t="str">
        <f>"2.2.4.04.00- ACOES JUDICIAIS E TRABALHISTAS"</f>
        <v>2.2.4.04.00- ACOES JUDICIAIS E TRABALHISTAS</v>
      </c>
      <c r="B174" s="10">
        <v>33588652.310000002</v>
      </c>
      <c r="C174" s="10">
        <v>1294374.44</v>
      </c>
      <c r="D174" s="10">
        <v>34883026.75</v>
      </c>
    </row>
    <row r="175" spans="1:4" x14ac:dyDescent="0.25">
      <c r="A175" s="2" t="str">
        <f>"2.2.4.04.01- Acoes judiciais"</f>
        <v>2.2.4.04.01- Acoes judiciais</v>
      </c>
      <c r="B175" s="10">
        <v>16494009.210000001</v>
      </c>
      <c r="C175" s="10">
        <v>-1178487.45</v>
      </c>
      <c r="D175" s="10">
        <v>15315521.76</v>
      </c>
    </row>
    <row r="176" spans="1:4" x14ac:dyDescent="0.25">
      <c r="A176" s="2" t="str">
        <f>"2.2.4.04.02- Acoes trabalhistas"</f>
        <v>2.2.4.04.02- Acoes trabalhistas</v>
      </c>
      <c r="B176" s="10">
        <v>17094643.100000001</v>
      </c>
      <c r="C176" s="10">
        <v>2472861.89</v>
      </c>
      <c r="D176" s="10">
        <v>19567504.989999998</v>
      </c>
    </row>
    <row r="177" spans="1:4" x14ac:dyDescent="0.25">
      <c r="A177" s="2" t="str">
        <f>"2.2.5.00.00- OBRIGACOES VINC.  AO PAMEH"</f>
        <v>2.2.5.00.00- OBRIGACOES VINC.  AO PAMEH</v>
      </c>
      <c r="B177" s="10">
        <v>2149391.16</v>
      </c>
      <c r="C177" s="10">
        <v>21649.97</v>
      </c>
      <c r="D177" s="10">
        <v>2171041.13</v>
      </c>
    </row>
    <row r="178" spans="1:4" x14ac:dyDescent="0.25">
      <c r="A178" s="2" t="str">
        <f>"2.2.5.01.00- OBRIGACOES VINC.  AO PAMEH"</f>
        <v>2.2.5.01.00- OBRIGACOES VINC.  AO PAMEH</v>
      </c>
      <c r="B178" s="10">
        <v>2149391.16</v>
      </c>
      <c r="C178" s="10">
        <v>21649.97</v>
      </c>
      <c r="D178" s="10">
        <v>2171041.13</v>
      </c>
    </row>
    <row r="179" spans="1:4" x14ac:dyDescent="0.25">
      <c r="A179" s="2" t="str">
        <f>"2.2.5.01.01- Resultado Exerc.Anteriores-PAMEH"</f>
        <v>2.2.5.01.01- Resultado Exerc.Anteriores-PAMEH</v>
      </c>
      <c r="B179" s="10">
        <v>3478307.51</v>
      </c>
      <c r="C179" s="10">
        <v>0</v>
      </c>
      <c r="D179" s="10">
        <v>3478307.51</v>
      </c>
    </row>
    <row r="180" spans="1:4" x14ac:dyDescent="0.25">
      <c r="A180" s="2" t="str">
        <f>"2.2.5.01.02- Resultado deste Exercicio-PAMEH"</f>
        <v>2.2.5.01.02- Resultado deste Exercicio-PAMEH</v>
      </c>
      <c r="B180" s="10">
        <v>-1328916.3500000001</v>
      </c>
      <c r="C180" s="10">
        <v>21649.97</v>
      </c>
      <c r="D180" s="10">
        <v>-1307266.3799999999</v>
      </c>
    </row>
    <row r="181" spans="1:4" x14ac:dyDescent="0.25">
      <c r="A181" s="2" t="str">
        <f>"2.4.0.00.00- PATRIMONIO LIQUIDO"</f>
        <v>2.4.0.00.00- PATRIMONIO LIQUIDO</v>
      </c>
      <c r="B181" s="10">
        <v>-76314423.5</v>
      </c>
      <c r="C181" s="10">
        <v>-12051.6</v>
      </c>
      <c r="D181" s="10">
        <v>-76326475.099999994</v>
      </c>
    </row>
    <row r="182" spans="1:4" x14ac:dyDescent="0.25">
      <c r="A182" s="2" t="str">
        <f>"2.4.1.00.00- CAPITAL SOCIAL"</f>
        <v>2.4.1.00.00- CAPITAL SOCIAL</v>
      </c>
      <c r="B182" s="10">
        <v>67418193.159999996</v>
      </c>
      <c r="C182" s="10">
        <v>0</v>
      </c>
      <c r="D182" s="10">
        <v>67418193.159999996</v>
      </c>
    </row>
    <row r="183" spans="1:4" x14ac:dyDescent="0.25">
      <c r="A183" s="2" t="str">
        <f>"2.4.1.02.00- CAPITAL REALIZADO"</f>
        <v>2.4.1.02.00- CAPITAL REALIZADO</v>
      </c>
      <c r="B183" s="10">
        <v>67418193.159999996</v>
      </c>
      <c r="C183" s="10">
        <v>0</v>
      </c>
      <c r="D183" s="10">
        <v>67418193.159999996</v>
      </c>
    </row>
    <row r="184" spans="1:4" x14ac:dyDescent="0.25">
      <c r="A184" s="2" t="str">
        <f>"2.4.1.02.01- Capital Subscrito"</f>
        <v>2.4.1.02.01- Capital Subscrito</v>
      </c>
      <c r="B184" s="10">
        <v>75000000</v>
      </c>
      <c r="C184" s="10">
        <v>0</v>
      </c>
      <c r="D184" s="10">
        <v>75000000</v>
      </c>
    </row>
    <row r="185" spans="1:4" x14ac:dyDescent="0.25">
      <c r="A185" s="2" t="str">
        <f>"2.4.1.02.04- Capital a Realizar"</f>
        <v>2.4.1.02.04- Capital a Realizar</v>
      </c>
      <c r="B185" s="10">
        <v>-7581806.8399999999</v>
      </c>
      <c r="C185" s="10">
        <v>0</v>
      </c>
      <c r="D185" s="10">
        <v>-7581806.8399999999</v>
      </c>
    </row>
    <row r="186" spans="1:4" x14ac:dyDescent="0.25">
      <c r="A186" s="2" t="str">
        <f>"2.4.3.00.00- RESULTADOS ACUMULADOS"</f>
        <v>2.4.3.00.00- RESULTADOS ACUMULADOS</v>
      </c>
      <c r="B186" s="10">
        <v>-143732616.66</v>
      </c>
      <c r="C186" s="10">
        <v>-12051.6</v>
      </c>
      <c r="D186" s="10">
        <v>-143744668.25999999</v>
      </c>
    </row>
    <row r="187" spans="1:4" x14ac:dyDescent="0.25">
      <c r="A187" s="2" t="str">
        <f>"2.4.3.01.00- LUCROS/PREJUIZOS ACUMULADOS"</f>
        <v>2.4.3.01.00- LUCROS/PREJUIZOS ACUMULADOS</v>
      </c>
      <c r="B187" s="10">
        <v>-143732616.66</v>
      </c>
      <c r="C187" s="10">
        <v>-12051.6</v>
      </c>
      <c r="D187" s="10">
        <v>-143744668.25999999</v>
      </c>
    </row>
    <row r="188" spans="1:4" x14ac:dyDescent="0.25">
      <c r="A188" s="2" t="str">
        <f>"2.4.3.01.01- Resultados de Exerc. Anteriores"</f>
        <v>2.4.3.01.01- Resultados de Exerc. Anteriores</v>
      </c>
      <c r="B188" s="10">
        <v>-144079394.25</v>
      </c>
      <c r="C188" s="10">
        <v>0</v>
      </c>
      <c r="D188" s="10">
        <v>-144079394.25</v>
      </c>
    </row>
    <row r="189" spans="1:4" x14ac:dyDescent="0.25">
      <c r="A189" s="2" t="str">
        <f>"2.4.3.01.03- Ajuste do Exercicio Anterior"</f>
        <v>2.4.3.01.03- Ajuste do Exercicio Anterior</v>
      </c>
      <c r="B189" s="10">
        <v>346777.59</v>
      </c>
      <c r="C189" s="10">
        <v>-12051.6</v>
      </c>
      <c r="D189" s="10">
        <v>334725.99</v>
      </c>
    </row>
    <row r="190" spans="1:4" x14ac:dyDescent="0.25">
      <c r="A190" s="2" t="str">
        <f>""</f>
        <v/>
      </c>
      <c r="B190" s="3" t="str">
        <f>""</f>
        <v/>
      </c>
      <c r="C190" s="3" t="str">
        <f>""</f>
        <v/>
      </c>
      <c r="D190" s="3" t="str">
        <f>""</f>
        <v/>
      </c>
    </row>
    <row r="191" spans="1:4" x14ac:dyDescent="0.25">
      <c r="A191" s="2" t="str">
        <f>""</f>
        <v/>
      </c>
      <c r="B191" s="3" t="str">
        <f>""</f>
        <v/>
      </c>
      <c r="C191" s="3" t="str">
        <f>""</f>
        <v/>
      </c>
      <c r="D191" s="3" t="str">
        <f>""</f>
        <v/>
      </c>
    </row>
    <row r="192" spans="1:4" x14ac:dyDescent="0.25">
      <c r="A192" s="2" t="str">
        <f>""</f>
        <v/>
      </c>
      <c r="B192" s="3" t="str">
        <f>""</f>
        <v/>
      </c>
      <c r="C192" s="3" t="str">
        <f>""</f>
        <v/>
      </c>
      <c r="D192" s="3" t="str">
        <f>""</f>
        <v/>
      </c>
    </row>
    <row r="193" spans="1:4" x14ac:dyDescent="0.25">
      <c r="A193" s="2" t="str">
        <f>""</f>
        <v/>
      </c>
      <c r="B193" s="3" t="str">
        <f>""</f>
        <v/>
      </c>
      <c r="C193" s="3" t="str">
        <f>""</f>
        <v/>
      </c>
      <c r="D193" s="3" t="str">
        <f>""</f>
        <v/>
      </c>
    </row>
    <row r="194" spans="1:4" x14ac:dyDescent="0.25">
      <c r="A194" s="2" t="str">
        <f>""</f>
        <v/>
      </c>
      <c r="B194" s="3" t="str">
        <f>""</f>
        <v/>
      </c>
      <c r="C194" s="3" t="str">
        <f>""</f>
        <v/>
      </c>
      <c r="D194" s="3" t="str">
        <f>""</f>
        <v/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"DESPESAS"</f>
        <v>DESPESAS</v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"3.0.0.00.00- DESPESAS"</f>
        <v>3.0.0.00.00- DESPESAS</v>
      </c>
      <c r="B198" s="10">
        <v>153475931.49000001</v>
      </c>
      <c r="C198" s="10">
        <v>23783895.539999999</v>
      </c>
      <c r="D198" s="10">
        <v>177259827.03</v>
      </c>
    </row>
    <row r="199" spans="1:4" x14ac:dyDescent="0.25">
      <c r="A199" s="2" t="str">
        <f>"3.1.0.00.00- DESPESAS OPERACIONAIS"</f>
        <v>3.1.0.00.00- DESPESAS OPERACIONAIS</v>
      </c>
      <c r="B199" s="10">
        <v>153475931.49000001</v>
      </c>
      <c r="C199" s="10">
        <v>23783895.539999999</v>
      </c>
      <c r="D199" s="10">
        <v>177259827.03</v>
      </c>
    </row>
    <row r="200" spans="1:4" x14ac:dyDescent="0.25">
      <c r="A200" s="2" t="str">
        <f>"3.1.1.00.00- SALARIOS ADICIONAIS E HONORARIOS"</f>
        <v>3.1.1.00.00- SALARIOS ADICIONAIS E HONORARIOS</v>
      </c>
      <c r="B200" s="10">
        <v>81356735.390000001</v>
      </c>
      <c r="C200" s="10">
        <v>7775701.4000000004</v>
      </c>
      <c r="D200" s="10">
        <v>89132436.790000007</v>
      </c>
    </row>
    <row r="201" spans="1:4" x14ac:dyDescent="0.25">
      <c r="A201" s="2" t="str">
        <f>"3.1.1.00.01- Honorarios diretoria"</f>
        <v>3.1.1.00.01- Honorarios diretoria</v>
      </c>
      <c r="B201" s="10">
        <v>934951.47</v>
      </c>
      <c r="C201" s="10">
        <v>89146.42</v>
      </c>
      <c r="D201" s="10">
        <v>1024097.89</v>
      </c>
    </row>
    <row r="202" spans="1:4" x14ac:dyDescent="0.25">
      <c r="A202" s="2" t="str">
        <f>"3.1.1.00.02- Honorarios conselho fiscal"</f>
        <v>3.1.1.00.02- Honorarios conselho fiscal</v>
      </c>
      <c r="B202" s="10">
        <v>56656</v>
      </c>
      <c r="C202" s="10">
        <v>5311.5</v>
      </c>
      <c r="D202" s="10">
        <v>61967.5</v>
      </c>
    </row>
    <row r="203" spans="1:4" x14ac:dyDescent="0.25">
      <c r="A203" s="2" t="str">
        <f>"3.1.1.00.03- Honorarios cons. administracao"</f>
        <v>3.1.1.00.03- Honorarios cons. administracao</v>
      </c>
      <c r="B203" s="10">
        <v>89349.41</v>
      </c>
      <c r="C203" s="10">
        <v>6451.47</v>
      </c>
      <c r="D203" s="10">
        <v>95800.88</v>
      </c>
    </row>
    <row r="204" spans="1:4" x14ac:dyDescent="0.25">
      <c r="A204" s="2" t="str">
        <f>"3.1.1.00.04- Salarios e adicionais"</f>
        <v>3.1.1.00.04- Salarios e adicionais</v>
      </c>
      <c r="B204" s="10">
        <v>62764932.259999998</v>
      </c>
      <c r="C204" s="10">
        <v>5959114.1500000004</v>
      </c>
      <c r="D204" s="10">
        <v>68724046.409999996</v>
      </c>
    </row>
    <row r="205" spans="1:4" x14ac:dyDescent="0.25">
      <c r="A205" s="2" t="str">
        <f>"3.1.1.00.05- Ferias e abono pecuniario"</f>
        <v>3.1.1.00.05- Ferias e abono pecuniario</v>
      </c>
      <c r="B205" s="10">
        <v>8015386.5800000001</v>
      </c>
      <c r="C205" s="10">
        <v>739764.31</v>
      </c>
      <c r="D205" s="10">
        <v>8755150.8900000006</v>
      </c>
    </row>
    <row r="206" spans="1:4" x14ac:dyDescent="0.25">
      <c r="A206" s="2" t="str">
        <f>"3.1.1.00.06- Decimo terceiro salario"</f>
        <v>3.1.1.00.06- Decimo terceiro salario</v>
      </c>
      <c r="B206" s="10">
        <v>5364454.4400000004</v>
      </c>
      <c r="C206" s="10">
        <v>953795.78</v>
      </c>
      <c r="D206" s="10">
        <v>6318250.2199999997</v>
      </c>
    </row>
    <row r="207" spans="1:4" x14ac:dyDescent="0.25">
      <c r="A207" s="2" t="str">
        <f>"3.1.1.00.07- Indenizacoes trabalhistas"</f>
        <v>3.1.1.00.07- Indenizacoes trabalhistas</v>
      </c>
      <c r="B207" s="10">
        <v>16500.36</v>
      </c>
      <c r="C207" s="10">
        <v>0</v>
      </c>
      <c r="D207" s="10">
        <v>16500.36</v>
      </c>
    </row>
    <row r="208" spans="1:4" x14ac:dyDescent="0.25">
      <c r="A208" s="2" t="str">
        <f>"3.1.1.00.08- Bolsas de estagiario"</f>
        <v>3.1.1.00.08- Bolsas de estagiario</v>
      </c>
      <c r="B208" s="10">
        <v>181425.07</v>
      </c>
      <c r="C208" s="10">
        <v>22117.77</v>
      </c>
      <c r="D208" s="10">
        <v>203542.84</v>
      </c>
    </row>
    <row r="209" spans="1:4" x14ac:dyDescent="0.25">
      <c r="A209" s="2" t="str">
        <f>"3.1.1.00.10- Indenizações trabalhistas - ACT"</f>
        <v>3.1.1.00.10- Indenizações trabalhistas - ACT</v>
      </c>
      <c r="B209" s="10">
        <v>3933079.8</v>
      </c>
      <c r="C209" s="10">
        <v>0</v>
      </c>
      <c r="D209" s="10">
        <v>3933079.8</v>
      </c>
    </row>
    <row r="210" spans="1:4" x14ac:dyDescent="0.25">
      <c r="A210" s="2" t="str">
        <f>"3.1.2.01.00- ENCARGOS SOCIAIS"</f>
        <v>3.1.2.01.00- ENCARGOS SOCIAIS</v>
      </c>
      <c r="B210" s="10">
        <v>27731286.23</v>
      </c>
      <c r="C210" s="10">
        <v>2786488.7</v>
      </c>
      <c r="D210" s="10">
        <v>30517774.93</v>
      </c>
    </row>
    <row r="211" spans="1:4" x14ac:dyDescent="0.25">
      <c r="A211" s="2" t="str">
        <f>"3.1.2.01.01- INSS"</f>
        <v>3.1.2.01.01- INSS</v>
      </c>
      <c r="B211" s="10">
        <v>21575208.850000001</v>
      </c>
      <c r="C211" s="10">
        <v>2169864.4</v>
      </c>
      <c r="D211" s="10">
        <v>23745073.25</v>
      </c>
    </row>
    <row r="212" spans="1:4" x14ac:dyDescent="0.25">
      <c r="A212" s="2" t="str">
        <f>"3.1.2.01.02- FGTS"</f>
        <v>3.1.2.01.02- FGTS</v>
      </c>
      <c r="B212" s="10">
        <v>6156077.3799999999</v>
      </c>
      <c r="C212" s="10">
        <v>616624.30000000005</v>
      </c>
      <c r="D212" s="10">
        <v>6772701.6799999997</v>
      </c>
    </row>
    <row r="213" spans="1:4" x14ac:dyDescent="0.25">
      <c r="A213" s="2" t="str">
        <f>"3.1.2.02.00- OUTRAS DESPESAS COM PESSOAL"</f>
        <v>3.1.2.02.00- OUTRAS DESPESAS COM PESSOAL</v>
      </c>
      <c r="B213" s="10">
        <v>13629750.48</v>
      </c>
      <c r="C213" s="10">
        <v>1238974.48</v>
      </c>
      <c r="D213" s="10">
        <v>14868724.960000001</v>
      </c>
    </row>
    <row r="214" spans="1:4" x14ac:dyDescent="0.25">
      <c r="A214" s="2" t="str">
        <f>"3.1.2.02.01- Seguros de Vida"</f>
        <v>3.1.2.02.01- Seguros de Vida</v>
      </c>
      <c r="B214" s="10">
        <v>71368.710000000006</v>
      </c>
      <c r="C214" s="10">
        <v>7050.13</v>
      </c>
      <c r="D214" s="10">
        <v>78418.84</v>
      </c>
    </row>
    <row r="215" spans="1:4" x14ac:dyDescent="0.25">
      <c r="A215" s="2" t="str">
        <f>"3.1.2.02.02- Ass. Medica Odontologica"</f>
        <v>3.1.2.02.02- Ass. Medica Odontologica</v>
      </c>
      <c r="B215" s="10">
        <v>3871871.43</v>
      </c>
      <c r="C215" s="10">
        <v>327919.63</v>
      </c>
      <c r="D215" s="10">
        <v>4199791.0599999996</v>
      </c>
    </row>
    <row r="216" spans="1:4" x14ac:dyDescent="0.25">
      <c r="A216" s="2" t="str">
        <f>"3.1.2.02.03- Vale Transporte"</f>
        <v>3.1.2.02.03- Vale Transporte</v>
      </c>
      <c r="B216" s="10">
        <v>939913.46</v>
      </c>
      <c r="C216" s="10">
        <v>116284.08</v>
      </c>
      <c r="D216" s="10">
        <v>1056197.54</v>
      </c>
    </row>
    <row r="217" spans="1:4" x14ac:dyDescent="0.25">
      <c r="A217" s="2" t="str">
        <f>"3.1.2.02.04- Vale Refeicao/Alimentacao"</f>
        <v>3.1.2.02.04- Vale Refeicao/Alimentacao</v>
      </c>
      <c r="B217" s="10">
        <v>8390183.4900000002</v>
      </c>
      <c r="C217" s="10">
        <v>731250.69</v>
      </c>
      <c r="D217" s="10">
        <v>9121434.1799999997</v>
      </c>
    </row>
    <row r="218" spans="1:4" x14ac:dyDescent="0.25">
      <c r="A218" s="2" t="str">
        <f>"3.1.2.02.05- Compl. Auxilio Doenca"</f>
        <v>3.1.2.02.05- Compl. Auxilio Doenca</v>
      </c>
      <c r="B218" s="10">
        <v>75177.490000000005</v>
      </c>
      <c r="C218" s="10">
        <v>7859.82</v>
      </c>
      <c r="D218" s="10">
        <v>83037.31</v>
      </c>
    </row>
    <row r="219" spans="1:4" x14ac:dyDescent="0.25">
      <c r="A219" s="2" t="str">
        <f>"3.1.2.02.06- Cursos e Treinamentos"</f>
        <v>3.1.2.02.06- Cursos e Treinamentos</v>
      </c>
      <c r="B219" s="10">
        <v>49699.3</v>
      </c>
      <c r="C219" s="10">
        <v>27832.400000000001</v>
      </c>
      <c r="D219" s="10">
        <v>77531.7</v>
      </c>
    </row>
    <row r="220" spans="1:4" x14ac:dyDescent="0.25">
      <c r="A220" s="2" t="str">
        <f>"3.1.2.02.07- Auxilio Creche"</f>
        <v>3.1.2.02.07- Auxilio Creche</v>
      </c>
      <c r="B220" s="10">
        <v>231536.6</v>
      </c>
      <c r="C220" s="10">
        <v>20777.73</v>
      </c>
      <c r="D220" s="10">
        <v>252314.33</v>
      </c>
    </row>
    <row r="221" spans="1:4" x14ac:dyDescent="0.25">
      <c r="A221" s="2" t="str">
        <f>"3.1.3.00.00- MATERIAIS"</f>
        <v>3.1.3.00.00- MATERIAIS</v>
      </c>
      <c r="B221" s="10">
        <v>969414.88</v>
      </c>
      <c r="C221" s="10">
        <v>61428.19</v>
      </c>
      <c r="D221" s="10">
        <v>1030843.07</v>
      </c>
    </row>
    <row r="222" spans="1:4" x14ac:dyDescent="0.25">
      <c r="A222" s="2" t="str">
        <f>"3.1.3.00.01- Bens de natureza permanente"</f>
        <v>3.1.3.00.01- Bens de natureza permanente</v>
      </c>
      <c r="B222" s="10">
        <v>11563.48</v>
      </c>
      <c r="C222" s="10">
        <v>0</v>
      </c>
      <c r="D222" s="10">
        <v>11563.48</v>
      </c>
    </row>
    <row r="223" spans="1:4" x14ac:dyDescent="0.25">
      <c r="A223" s="2" t="str">
        <f>"3.1.3.00.02- Lampadas e transformadores"</f>
        <v>3.1.3.00.02- Lampadas e transformadores</v>
      </c>
      <c r="B223" s="10">
        <v>27303.7</v>
      </c>
      <c r="C223" s="10">
        <v>20075</v>
      </c>
      <c r="D223" s="10">
        <v>47378.7</v>
      </c>
    </row>
    <row r="224" spans="1:4" x14ac:dyDescent="0.25">
      <c r="A224" s="2" t="str">
        <f>"3.1.3.00.04- Fios e cabos"</f>
        <v>3.1.3.00.04- Fios e cabos</v>
      </c>
      <c r="B224" s="10">
        <v>41996</v>
      </c>
      <c r="C224" s="10">
        <v>0</v>
      </c>
      <c r="D224" s="10">
        <v>41996</v>
      </c>
    </row>
    <row r="225" spans="1:4" x14ac:dyDescent="0.25">
      <c r="A225" s="2" t="str">
        <f>"3.1.3.00.05- Placas/acessorios/mat.fixacao"</f>
        <v>3.1.3.00.05- Placas/acessorios/mat.fixacao</v>
      </c>
      <c r="B225" s="10">
        <v>605</v>
      </c>
      <c r="C225" s="10">
        <v>0</v>
      </c>
      <c r="D225" s="10">
        <v>605</v>
      </c>
    </row>
    <row r="226" spans="1:4" x14ac:dyDescent="0.25">
      <c r="A226" s="2" t="str">
        <f>"3.1.3.00.08- Material seguranca e uniformes"</f>
        <v>3.1.3.00.08- Material seguranca e uniformes</v>
      </c>
      <c r="B226" s="10">
        <v>7175.58</v>
      </c>
      <c r="C226" s="10">
        <v>679.32</v>
      </c>
      <c r="D226" s="10">
        <v>7854.9</v>
      </c>
    </row>
    <row r="227" spans="1:4" x14ac:dyDescent="0.25">
      <c r="A227" s="2" t="str">
        <f>"3.1.3.00.09- Material limp/conserv/copa/cozin"</f>
        <v>3.1.3.00.09- Material limp/conserv/copa/cozin</v>
      </c>
      <c r="B227" s="10">
        <v>155345.69</v>
      </c>
      <c r="C227" s="10">
        <v>18177.330000000002</v>
      </c>
      <c r="D227" s="10">
        <v>173523.02</v>
      </c>
    </row>
    <row r="228" spans="1:4" x14ac:dyDescent="0.25">
      <c r="A228" s="2" t="str">
        <f>"3.1.3.00.10- Impressos e material de escritorio"</f>
        <v>3.1.3.00.10- Impressos e material de escritorio</v>
      </c>
      <c r="B228" s="10">
        <v>149652.72</v>
      </c>
      <c r="C228" s="10">
        <v>9538.68</v>
      </c>
      <c r="D228" s="10">
        <v>159191.4</v>
      </c>
    </row>
    <row r="229" spans="1:4" x14ac:dyDescent="0.25">
      <c r="A229" s="2" t="str">
        <f>"3.1.3.00.11- Materiais manut. inst. prediais"</f>
        <v>3.1.3.00.11- Materiais manut. inst. prediais</v>
      </c>
      <c r="B229" s="10">
        <v>267565.81</v>
      </c>
      <c r="C229" s="10">
        <v>8715.2099999999991</v>
      </c>
      <c r="D229" s="10">
        <v>276281.02</v>
      </c>
    </row>
    <row r="230" spans="1:4" x14ac:dyDescent="0.25">
      <c r="A230" s="2" t="str">
        <f>"3.1.3.00.12- Carnes estacionamento rotativo"</f>
        <v>3.1.3.00.12- Carnes estacionamento rotativo</v>
      </c>
      <c r="B230" s="10">
        <v>240319.67</v>
      </c>
      <c r="C230" s="10">
        <v>0</v>
      </c>
      <c r="D230" s="10">
        <v>240319.67</v>
      </c>
    </row>
    <row r="231" spans="1:4" x14ac:dyDescent="0.25">
      <c r="A231" s="2" t="str">
        <f>"3.1.3.00.15- Materiais e supriment informatic"</f>
        <v>3.1.3.00.15- Materiais e supriment informatic</v>
      </c>
      <c r="B231" s="10">
        <v>31324.16</v>
      </c>
      <c r="C231" s="10">
        <v>2926.65</v>
      </c>
      <c r="D231" s="10">
        <v>34250.81</v>
      </c>
    </row>
    <row r="232" spans="1:4" x14ac:dyDescent="0.25">
      <c r="A232" s="2" t="str">
        <f>"3.1.3.00.16- Mat.manut.mov.eq."</f>
        <v>3.1.3.00.16- Mat.manut.mov.eq.</v>
      </c>
      <c r="B232" s="10">
        <v>0</v>
      </c>
      <c r="C232" s="10">
        <v>397</v>
      </c>
      <c r="D232" s="10">
        <v>397</v>
      </c>
    </row>
    <row r="233" spans="1:4" x14ac:dyDescent="0.25">
      <c r="A233" s="2" t="str">
        <f>"3.1.3.00.17- Comb./lubrificantes"</f>
        <v>3.1.3.00.17- Comb./lubrificantes</v>
      </c>
      <c r="B233" s="10">
        <v>2207.25</v>
      </c>
      <c r="C233" s="10">
        <v>0</v>
      </c>
      <c r="D233" s="10">
        <v>2207.25</v>
      </c>
    </row>
    <row r="234" spans="1:4" x14ac:dyDescent="0.25">
      <c r="A234" s="2" t="str">
        <f>"3.1.3.00.18- Livros/jornais/rev./publicacoes"</f>
        <v>3.1.3.00.18- Livros/jornais/rev./publicacoes</v>
      </c>
      <c r="B234" s="10">
        <v>4341.2</v>
      </c>
      <c r="C234" s="10">
        <v>0</v>
      </c>
      <c r="D234" s="10">
        <v>4341.2</v>
      </c>
    </row>
    <row r="235" spans="1:4" x14ac:dyDescent="0.25">
      <c r="A235" s="2" t="str">
        <f>"3.1.3.00.99- Outros materiais"</f>
        <v>3.1.3.00.99- Outros materiais</v>
      </c>
      <c r="B235" s="10">
        <v>30014.62</v>
      </c>
      <c r="C235" s="10">
        <v>919</v>
      </c>
      <c r="D235" s="10">
        <v>30933.62</v>
      </c>
    </row>
    <row r="236" spans="1:4" x14ac:dyDescent="0.25">
      <c r="A236" s="2" t="str">
        <f>"3.1.4.00.00- SERVICOS PRESTADOS POR TERCEIROS"</f>
        <v>3.1.4.00.00- SERVICOS PRESTADOS POR TERCEIROS</v>
      </c>
      <c r="B236" s="10">
        <v>21542971.449999999</v>
      </c>
      <c r="C236" s="10">
        <v>3347179.14</v>
      </c>
      <c r="D236" s="10">
        <v>24890150.59</v>
      </c>
    </row>
    <row r="237" spans="1:4" x14ac:dyDescent="0.25">
      <c r="A237" s="2" t="str">
        <f>"3.1.4.00.01- Consultoria"</f>
        <v>3.1.4.00.01- Consultoria</v>
      </c>
      <c r="B237" s="10">
        <v>7500</v>
      </c>
      <c r="C237" s="10">
        <v>0</v>
      </c>
      <c r="D237" s="10">
        <v>7500</v>
      </c>
    </row>
    <row r="238" spans="1:4" x14ac:dyDescent="0.25">
      <c r="A238" s="2" t="str">
        <f>"3.1.4.00.03- Locacao de equipamentos"</f>
        <v>3.1.4.00.03- Locacao de equipamentos</v>
      </c>
      <c r="B238" s="10">
        <v>69577.2</v>
      </c>
      <c r="C238" s="10">
        <v>6325.2</v>
      </c>
      <c r="D238" s="10">
        <v>75902.399999999994</v>
      </c>
    </row>
    <row r="239" spans="1:4" x14ac:dyDescent="0.25">
      <c r="A239" s="2" t="str">
        <f>"3.1.4.00.08- Servicos de auditoria"</f>
        <v>3.1.4.00.08- Servicos de auditoria</v>
      </c>
      <c r="B239" s="10">
        <v>53779.96</v>
      </c>
      <c r="C239" s="10">
        <v>415360</v>
      </c>
      <c r="D239" s="10">
        <v>469139.96</v>
      </c>
    </row>
    <row r="240" spans="1:4" x14ac:dyDescent="0.25">
      <c r="A240" s="2" t="str">
        <f>"3.1.4.00.10- Mao de obra contratada"</f>
        <v>3.1.4.00.10- Mao de obra contratada</v>
      </c>
      <c r="B240" s="10">
        <v>695253.1</v>
      </c>
      <c r="C240" s="10">
        <v>107747.98</v>
      </c>
      <c r="D240" s="10">
        <v>803001.08</v>
      </c>
    </row>
    <row r="241" spans="1:4" x14ac:dyDescent="0.25">
      <c r="A241" s="2" t="str">
        <f>"3.1.4.00.12- Reprod. Xerografica/Heliografica"</f>
        <v>3.1.4.00.12- Reprod. Xerografica/Heliografica</v>
      </c>
      <c r="B241" s="10">
        <v>-5.5</v>
      </c>
      <c r="C241" s="10">
        <v>5.5</v>
      </c>
      <c r="D241" s="10">
        <v>0</v>
      </c>
    </row>
    <row r="242" spans="1:4" x14ac:dyDescent="0.25">
      <c r="A242" s="2" t="str">
        <f>"3.1.4.00.13- Publicidade e divulgacao"</f>
        <v>3.1.4.00.13- Publicidade e divulgacao</v>
      </c>
      <c r="B242" s="10">
        <v>132202.95000000001</v>
      </c>
      <c r="C242" s="10">
        <v>13566</v>
      </c>
      <c r="D242" s="10">
        <v>145768.95000000001</v>
      </c>
    </row>
    <row r="243" spans="1:4" x14ac:dyDescent="0.25">
      <c r="A243" s="2" t="str">
        <f>"3.1.4.00.14- Informatica-serv. e/ou locacao"</f>
        <v>3.1.4.00.14- Informatica-serv. e/ou locacao</v>
      </c>
      <c r="B243" s="10">
        <v>1566245.37</v>
      </c>
      <c r="C243" s="10">
        <v>26728.87</v>
      </c>
      <c r="D243" s="10">
        <v>1592974.24</v>
      </c>
    </row>
    <row r="244" spans="1:4" x14ac:dyDescent="0.25">
      <c r="A244" s="2" t="str">
        <f>"3.1.4.00.15- Outros serv. prestados - PF"</f>
        <v>3.1.4.00.15- Outros serv. prestados - PF</v>
      </c>
      <c r="B244" s="10">
        <v>95835.1</v>
      </c>
      <c r="C244" s="10">
        <v>10441.4</v>
      </c>
      <c r="D244" s="10">
        <v>106276.5</v>
      </c>
    </row>
    <row r="245" spans="1:4" x14ac:dyDescent="0.25">
      <c r="A245" s="2" t="str">
        <f>"3.1.4.00.16- Outros serv. Prestados - PJ"</f>
        <v>3.1.4.00.16- Outros serv. Prestados - PJ</v>
      </c>
      <c r="B245" s="10">
        <v>302653.23</v>
      </c>
      <c r="C245" s="10">
        <v>21031.78</v>
      </c>
      <c r="D245" s="10">
        <v>323685.01</v>
      </c>
    </row>
    <row r="246" spans="1:4" x14ac:dyDescent="0.25">
      <c r="A246" s="2" t="str">
        <f>"3.1.4.00.17- Servicos postais"</f>
        <v>3.1.4.00.17- Servicos postais</v>
      </c>
      <c r="B246" s="10">
        <v>56792.72</v>
      </c>
      <c r="C246" s="10">
        <v>5315.93</v>
      </c>
      <c r="D246" s="10">
        <v>62108.65</v>
      </c>
    </row>
    <row r="247" spans="1:4" x14ac:dyDescent="0.25">
      <c r="A247" s="2" t="str">
        <f>"3.1.4.00.18- INSS s/servicos de terceiros"</f>
        <v>3.1.4.00.18- INSS s/servicos de terceiros</v>
      </c>
      <c r="B247" s="10">
        <v>28087.200000000001</v>
      </c>
      <c r="C247" s="10">
        <v>1917.04</v>
      </c>
      <c r="D247" s="10">
        <v>30004.240000000002</v>
      </c>
    </row>
    <row r="248" spans="1:4" x14ac:dyDescent="0.25">
      <c r="A248" s="2" t="str">
        <f>"3.1.4.00.19- Manut. imoveis/instal/equip.oper"</f>
        <v>3.1.4.00.19- Manut. imoveis/instal/equip.oper</v>
      </c>
      <c r="B248" s="10">
        <v>465932.84</v>
      </c>
      <c r="C248" s="10">
        <v>4720.92</v>
      </c>
      <c r="D248" s="10">
        <v>470653.76</v>
      </c>
    </row>
    <row r="249" spans="1:4" x14ac:dyDescent="0.25">
      <c r="A249" s="2" t="str">
        <f>"3.1.4.00.21- Manut. moveis e equip. Escritorio"</f>
        <v>3.1.4.00.21- Manut. moveis e equip. Escritorio</v>
      </c>
      <c r="B249" s="10">
        <v>490</v>
      </c>
      <c r="C249" s="10">
        <v>60</v>
      </c>
      <c r="D249" s="10">
        <v>550</v>
      </c>
    </row>
    <row r="250" spans="1:4" x14ac:dyDescent="0.25">
      <c r="A250" s="2" t="str">
        <f>"3.1.4.00.22- Consultoria tec.Operacional"</f>
        <v>3.1.4.00.22- Consultoria tec.Operacional</v>
      </c>
      <c r="B250" s="10">
        <v>2800</v>
      </c>
      <c r="C250" s="10">
        <v>0</v>
      </c>
      <c r="D250" s="10">
        <v>2800</v>
      </c>
    </row>
    <row r="251" spans="1:4" x14ac:dyDescent="0.25">
      <c r="A251" s="2" t="str">
        <f>"3.1.4.00.24- Loc.serv.mensageiro"</f>
        <v>3.1.4.00.24- Loc.serv.mensageiro</v>
      </c>
      <c r="B251" s="10">
        <v>36360.699999999997</v>
      </c>
      <c r="C251" s="10">
        <v>0</v>
      </c>
      <c r="D251" s="10">
        <v>36360.699999999997</v>
      </c>
    </row>
    <row r="252" spans="1:4" x14ac:dyDescent="0.25">
      <c r="A252" s="2" t="str">
        <f>"3.1.4.00.26- Serv.limp.conserv."</f>
        <v>3.1.4.00.26- Serv.limp.conserv.</v>
      </c>
      <c r="B252" s="10">
        <v>16619532.01</v>
      </c>
      <c r="C252" s="10">
        <v>1307345.6000000001</v>
      </c>
      <c r="D252" s="10">
        <v>17926877.609999999</v>
      </c>
    </row>
    <row r="253" spans="1:4" x14ac:dyDescent="0.25">
      <c r="A253" s="2" t="str">
        <f>"3.1.4.00.29- Servicos pesquisa"</f>
        <v>3.1.4.00.29- Servicos pesquisa</v>
      </c>
      <c r="B253" s="10">
        <v>52477.06</v>
      </c>
      <c r="C253" s="10">
        <v>0</v>
      </c>
      <c r="D253" s="10">
        <v>52477.06</v>
      </c>
    </row>
    <row r="254" spans="1:4" x14ac:dyDescent="0.25">
      <c r="A254" s="2" t="str">
        <f>"3.1.4.00.32- Vale transporte"</f>
        <v>3.1.4.00.32- Vale transporte</v>
      </c>
      <c r="B254" s="10">
        <v>5732.05</v>
      </c>
      <c r="C254" s="10">
        <v>0</v>
      </c>
      <c r="D254" s="10">
        <v>5732.05</v>
      </c>
    </row>
    <row r="255" spans="1:4" x14ac:dyDescent="0.25">
      <c r="A255" s="2" t="str">
        <f>"3.1.4.00.34- Comissao s/venda rotativo"</f>
        <v>3.1.4.00.34- Comissao s/venda rotativo</v>
      </c>
      <c r="B255" s="10">
        <v>531178.18000000005</v>
      </c>
      <c r="C255" s="10">
        <v>274113.68</v>
      </c>
      <c r="D255" s="10">
        <v>805291.86</v>
      </c>
    </row>
    <row r="256" spans="1:4" x14ac:dyDescent="0.25">
      <c r="A256" s="2" t="str">
        <f>"3.1.4.00.36- (-) Desconto ISSQN conf Lei 9145 serv. P"</f>
        <v>3.1.4.00.36- (-) Desconto ISSQN conf Lei 9145 serv. P</v>
      </c>
      <c r="B256" s="10">
        <v>-729206.67</v>
      </c>
      <c r="C256" s="10">
        <v>-85548.97</v>
      </c>
      <c r="D256" s="10">
        <v>-814755.64</v>
      </c>
    </row>
    <row r="257" spans="1:4" x14ac:dyDescent="0.25">
      <c r="A257" s="2" t="str">
        <f>"3.1.4.00.39- Convênio Guarda Municipal"</f>
        <v>3.1.4.00.39- Convênio Guarda Municipal</v>
      </c>
      <c r="B257" s="10">
        <v>1514616.15</v>
      </c>
      <c r="C257" s="10">
        <v>27360</v>
      </c>
      <c r="D257" s="10">
        <v>1541976.15</v>
      </c>
    </row>
    <row r="258" spans="1:4" x14ac:dyDescent="0.25">
      <c r="A258" s="2" t="str">
        <f>"3.1.4.00.40- Servicos Medicos Pameh PF"</f>
        <v>3.1.4.00.40- Servicos Medicos Pameh PF</v>
      </c>
      <c r="B258" s="10">
        <v>35137.800000000003</v>
      </c>
      <c r="C258" s="10">
        <v>9585.2099999999991</v>
      </c>
      <c r="D258" s="10">
        <v>44723.01</v>
      </c>
    </row>
    <row r="259" spans="1:4" x14ac:dyDescent="0.25">
      <c r="A259" s="2" t="str">
        <f>"3.1.4.00.41- Estacionamento Rotativo Digital"</f>
        <v>3.1.4.00.41- Estacionamento Rotativo Digital</v>
      </c>
      <c r="B259" s="10">
        <v>0</v>
      </c>
      <c r="C259" s="10">
        <v>1201103</v>
      </c>
      <c r="D259" s="10">
        <v>1201103</v>
      </c>
    </row>
    <row r="260" spans="1:4" x14ac:dyDescent="0.25">
      <c r="A260" s="2" t="str">
        <f>"3.1.5.00.00- TARIFAS PUBLICAS"</f>
        <v>3.1.5.00.00- TARIFAS PUBLICAS</v>
      </c>
      <c r="B260" s="10">
        <v>1110111.93</v>
      </c>
      <c r="C260" s="10">
        <v>99727.07</v>
      </c>
      <c r="D260" s="10">
        <v>1209839</v>
      </c>
    </row>
    <row r="261" spans="1:4" x14ac:dyDescent="0.25">
      <c r="A261" s="2" t="str">
        <f>"3.1.5.00.02- Energia eletrica"</f>
        <v>3.1.5.00.02- Energia eletrica</v>
      </c>
      <c r="B261" s="10">
        <v>801164.47</v>
      </c>
      <c r="C261" s="10">
        <v>69818.759999999995</v>
      </c>
      <c r="D261" s="10">
        <v>870983.23</v>
      </c>
    </row>
    <row r="262" spans="1:4" x14ac:dyDescent="0.25">
      <c r="A262" s="2" t="str">
        <f>"3.1.5.00.03- Telefone"</f>
        <v>3.1.5.00.03- Telefone</v>
      </c>
      <c r="B262" s="10">
        <v>308947.46000000002</v>
      </c>
      <c r="C262" s="10">
        <v>29908.31</v>
      </c>
      <c r="D262" s="10">
        <v>338855.77</v>
      </c>
    </row>
    <row r="263" spans="1:4" x14ac:dyDescent="0.25">
      <c r="A263" s="2" t="str">
        <f>"3.1.6.00.00- DESPESAS TRIBUTARIAS"</f>
        <v>3.1.6.00.00- DESPESAS TRIBUTARIAS</v>
      </c>
      <c r="B263" s="10">
        <v>2718966.21</v>
      </c>
      <c r="C263" s="10">
        <v>264578.08</v>
      </c>
      <c r="D263" s="10">
        <v>2983544.29</v>
      </c>
    </row>
    <row r="264" spans="1:4" x14ac:dyDescent="0.25">
      <c r="A264" s="2" t="str">
        <f>"3.1.6.00.01- Taxas legais"</f>
        <v>3.1.6.00.01- Taxas legais</v>
      </c>
      <c r="B264" s="10">
        <v>23731.759999999998</v>
      </c>
      <c r="C264" s="10">
        <v>0</v>
      </c>
      <c r="D264" s="10">
        <v>23731.759999999998</v>
      </c>
    </row>
    <row r="265" spans="1:4" x14ac:dyDescent="0.25">
      <c r="A265" s="2" t="str">
        <f>"3.1.6.00.03- IOF"</f>
        <v>3.1.6.00.03- IOF</v>
      </c>
      <c r="B265" s="10">
        <v>1178</v>
      </c>
      <c r="C265" s="10">
        <v>0</v>
      </c>
      <c r="D265" s="10">
        <v>1178</v>
      </c>
    </row>
    <row r="266" spans="1:4" x14ac:dyDescent="0.25">
      <c r="A266" s="2" t="str">
        <f>"3.1.6.00.06- PIS"</f>
        <v>3.1.6.00.06- PIS</v>
      </c>
      <c r="B266" s="10">
        <v>464348.26</v>
      </c>
      <c r="C266" s="10">
        <v>42338.78</v>
      </c>
      <c r="D266" s="10">
        <v>506687.04</v>
      </c>
    </row>
    <row r="267" spans="1:4" x14ac:dyDescent="0.25">
      <c r="A267" s="2" t="str">
        <f>"3.1.6.00.07- COFINS"</f>
        <v>3.1.6.00.07- COFINS</v>
      </c>
      <c r="B267" s="10">
        <v>2138816.23</v>
      </c>
      <c r="C267" s="10">
        <v>195014.98</v>
      </c>
      <c r="D267" s="10">
        <v>2333831.21</v>
      </c>
    </row>
    <row r="268" spans="1:4" x14ac:dyDescent="0.25">
      <c r="A268" s="2" t="str">
        <f>"3.1.6.00.08- Multas indedutiveis"</f>
        <v>3.1.6.00.08- Multas indedutiveis</v>
      </c>
      <c r="B268" s="10">
        <v>0.84</v>
      </c>
      <c r="C268" s="10">
        <v>13245.87</v>
      </c>
      <c r="D268" s="10">
        <v>13246.71</v>
      </c>
    </row>
    <row r="269" spans="1:4" x14ac:dyDescent="0.25">
      <c r="A269" s="2" t="str">
        <f>"3.1.6.00.10- ISS s/faturamento"</f>
        <v>3.1.6.00.10- ISS s/faturamento</v>
      </c>
      <c r="B269" s="10">
        <v>24858.38</v>
      </c>
      <c r="C269" s="10">
        <v>2509.04</v>
      </c>
      <c r="D269" s="10">
        <v>27367.42</v>
      </c>
    </row>
    <row r="270" spans="1:4" x14ac:dyDescent="0.25">
      <c r="A270" s="2" t="str">
        <f>"3.1.6.00.14- Contrib.entid.classe"</f>
        <v>3.1.6.00.14- Contrib.entid.classe</v>
      </c>
      <c r="B270" s="10">
        <v>22800.86</v>
      </c>
      <c r="C270" s="10">
        <v>2853.8</v>
      </c>
      <c r="D270" s="10">
        <v>25654.66</v>
      </c>
    </row>
    <row r="271" spans="1:4" x14ac:dyDescent="0.25">
      <c r="A271" s="2" t="str">
        <f>"3.1.6.00.15- INSS Serv.terceiros"</f>
        <v>3.1.6.00.15- INSS Serv.terceiros</v>
      </c>
      <c r="B271" s="10">
        <v>20250.09</v>
      </c>
      <c r="C271" s="10">
        <v>5326.9</v>
      </c>
      <c r="D271" s="10">
        <v>25576.99</v>
      </c>
    </row>
    <row r="272" spans="1:4" x14ac:dyDescent="0.25">
      <c r="A272" s="2" t="str">
        <f>"3.1.6.00.17- PIS s/ receitas financeiras"</f>
        <v>3.1.6.00.17- PIS s/ receitas financeiras</v>
      </c>
      <c r="B272" s="10">
        <v>3212.51</v>
      </c>
      <c r="C272" s="10">
        <v>459.71</v>
      </c>
      <c r="D272" s="10">
        <v>3672.22</v>
      </c>
    </row>
    <row r="273" spans="1:4" x14ac:dyDescent="0.25">
      <c r="A273" s="2" t="str">
        <f>"3.1.6.00.18- Cofins s/ receitas financeiras"</f>
        <v>3.1.6.00.18- Cofins s/ receitas financeiras</v>
      </c>
      <c r="B273" s="10">
        <v>19769.28</v>
      </c>
      <c r="C273" s="10">
        <v>2829</v>
      </c>
      <c r="D273" s="10">
        <v>22598.28</v>
      </c>
    </row>
    <row r="274" spans="1:4" x14ac:dyDescent="0.25">
      <c r="A274" s="2" t="str">
        <f>"3.1.7.00.00- DESPESAS FINANCEIRAS"</f>
        <v>3.1.7.00.00- DESPESAS FINANCEIRAS</v>
      </c>
      <c r="B274" s="10">
        <v>507337.9</v>
      </c>
      <c r="C274" s="10">
        <v>3204.73</v>
      </c>
      <c r="D274" s="10">
        <v>510542.63</v>
      </c>
    </row>
    <row r="275" spans="1:4" x14ac:dyDescent="0.25">
      <c r="A275" s="2" t="str">
        <f>"3.1.7.01.01- Juros passivos curto prazo"</f>
        <v>3.1.7.01.01- Juros passivos curto prazo</v>
      </c>
      <c r="B275" s="10">
        <v>493199.03</v>
      </c>
      <c r="C275" s="10">
        <v>1939.18</v>
      </c>
      <c r="D275" s="10">
        <v>495138.21</v>
      </c>
    </row>
    <row r="276" spans="1:4" x14ac:dyDescent="0.25">
      <c r="A276" s="2" t="str">
        <f>"3.1.7.01.02- Despesas bancarias"</f>
        <v>3.1.7.01.02- Despesas bancarias</v>
      </c>
      <c r="B276" s="10">
        <v>14138.87</v>
      </c>
      <c r="C276" s="10">
        <v>1265.55</v>
      </c>
      <c r="D276" s="10">
        <v>15404.42</v>
      </c>
    </row>
    <row r="277" spans="1:4" x14ac:dyDescent="0.25">
      <c r="A277" s="2" t="str">
        <f>"3.1.8.00.00- OUTRAS DESPESAS"</f>
        <v>3.1.8.00.00- OUTRAS DESPESAS</v>
      </c>
      <c r="B277" s="10">
        <v>3909357.02</v>
      </c>
      <c r="C277" s="10">
        <v>8206613.75</v>
      </c>
      <c r="D277" s="10">
        <v>12115970.77</v>
      </c>
    </row>
    <row r="278" spans="1:4" x14ac:dyDescent="0.25">
      <c r="A278" s="2" t="str">
        <f>"3.1.8.00.01- Despesas de viagem"</f>
        <v>3.1.8.00.01- Despesas de viagem</v>
      </c>
      <c r="B278" s="10">
        <v>70470.28</v>
      </c>
      <c r="C278" s="10">
        <v>4478.6099999999997</v>
      </c>
      <c r="D278" s="10">
        <v>74948.89</v>
      </c>
    </row>
    <row r="279" spans="1:4" x14ac:dyDescent="0.25">
      <c r="A279" s="2" t="str">
        <f>"3.1.8.00.05- Depreciacao/amort"</f>
        <v>3.1.8.00.05- Depreciacao/amort</v>
      </c>
      <c r="B279" s="10">
        <v>231908.98</v>
      </c>
      <c r="C279" s="10">
        <v>20729.740000000002</v>
      </c>
      <c r="D279" s="10">
        <v>252638.72</v>
      </c>
    </row>
    <row r="280" spans="1:4" x14ac:dyDescent="0.25">
      <c r="A280" s="2" t="str">
        <f>"3.1.8.00.06- Seguros bens moveis e imoveis"</f>
        <v>3.1.8.00.06- Seguros bens moveis e imoveis</v>
      </c>
      <c r="B280" s="10">
        <v>12949.05</v>
      </c>
      <c r="C280" s="10">
        <v>1298.97</v>
      </c>
      <c r="D280" s="10">
        <v>14248.02</v>
      </c>
    </row>
    <row r="281" spans="1:4" x14ac:dyDescent="0.25">
      <c r="A281" s="2" t="str">
        <f>"3.1.8.00.08- Alugueis e condominio"</f>
        <v>3.1.8.00.08- Alugueis e condominio</v>
      </c>
      <c r="B281" s="10">
        <v>56306.87</v>
      </c>
      <c r="C281" s="10">
        <v>5071.8100000000004</v>
      </c>
      <c r="D281" s="10">
        <v>61378.68</v>
      </c>
    </row>
    <row r="282" spans="1:4" x14ac:dyDescent="0.25">
      <c r="A282" s="2" t="str">
        <f>"3.1.8.00.09- Multas dedutiveis"</f>
        <v>3.1.8.00.09- Multas dedutiveis</v>
      </c>
      <c r="B282" s="10">
        <v>55.93</v>
      </c>
      <c r="C282" s="10">
        <v>2.64</v>
      </c>
      <c r="D282" s="10">
        <v>58.57</v>
      </c>
    </row>
    <row r="283" spans="1:4" x14ac:dyDescent="0.25">
      <c r="A283" s="2" t="str">
        <f>"3.1.8.00.12- Acoes judiciais terceiros"</f>
        <v>3.1.8.00.12- Acoes judiciais terceiros</v>
      </c>
      <c r="B283" s="10">
        <v>94026.04</v>
      </c>
      <c r="C283" s="10">
        <v>6651.68</v>
      </c>
      <c r="D283" s="10">
        <v>100677.72</v>
      </c>
    </row>
    <row r="284" spans="1:4" x14ac:dyDescent="0.25">
      <c r="A284" s="2" t="str">
        <f>"3.1.8.00.16- Baixa de imobilizado"</f>
        <v>3.1.8.00.16- Baixa de imobilizado</v>
      </c>
      <c r="B284" s="10">
        <v>44034.51</v>
      </c>
      <c r="C284" s="10">
        <v>2411.77</v>
      </c>
      <c r="D284" s="10">
        <v>46446.28</v>
      </c>
    </row>
    <row r="285" spans="1:4" x14ac:dyDescent="0.25">
      <c r="A285" s="2" t="str">
        <f>"3.1.8.00.17- Gastos com eventos e promocoes"</f>
        <v>3.1.8.00.17- Gastos com eventos e promocoes</v>
      </c>
      <c r="B285" s="10">
        <v>27693.78</v>
      </c>
      <c r="C285" s="10">
        <v>0</v>
      </c>
      <c r="D285" s="10">
        <v>27693.78</v>
      </c>
    </row>
    <row r="286" spans="1:4" x14ac:dyDescent="0.25">
      <c r="A286" s="2" t="str">
        <f>"3.1.8.00.18- Provisao para perdas"</f>
        <v>3.1.8.00.18- Provisao para perdas</v>
      </c>
      <c r="B286" s="10">
        <v>755731.69</v>
      </c>
      <c r="C286" s="10">
        <v>82347.89</v>
      </c>
      <c r="D286" s="10">
        <v>838079.58</v>
      </c>
    </row>
    <row r="287" spans="1:4" x14ac:dyDescent="0.25">
      <c r="A287" s="2" t="str">
        <f>"3.1.8.00.22- Perda tributos a recuperar"</f>
        <v>3.1.8.00.22- Perda tributos a recuperar</v>
      </c>
      <c r="B287" s="10">
        <v>1395955.29</v>
      </c>
      <c r="C287" s="10">
        <v>16641.900000000001</v>
      </c>
      <c r="D287" s="10">
        <v>1412597.19</v>
      </c>
    </row>
    <row r="288" spans="1:4" x14ac:dyDescent="0.25">
      <c r="A288" s="2" t="str">
        <f>"3.1.8.00.23- Custas/Despesas Judiciais"</f>
        <v>3.1.8.00.23- Custas/Despesas Judiciais</v>
      </c>
      <c r="B288" s="10">
        <v>129540.66</v>
      </c>
      <c r="C288" s="10">
        <v>5848.28</v>
      </c>
      <c r="D288" s="10">
        <v>135388.94</v>
      </c>
    </row>
    <row r="289" spans="1:4" x14ac:dyDescent="0.25">
      <c r="A289" s="2" t="str">
        <f>"3.1.8.00.24- Provisão para Contingências Fiscais"</f>
        <v>3.1.8.00.24- Provisão para Contingências Fiscais</v>
      </c>
      <c r="B289" s="10">
        <v>0</v>
      </c>
      <c r="C289" s="10">
        <v>6667754.0800000001</v>
      </c>
      <c r="D289" s="10">
        <v>6667754.0800000001</v>
      </c>
    </row>
    <row r="290" spans="1:4" x14ac:dyDescent="0.25">
      <c r="A290" s="2" t="str">
        <f>"3.1.8.00.26- Provisao Acoes Trabalhistas"</f>
        <v>3.1.8.00.26- Provisao Acoes Trabalhistas</v>
      </c>
      <c r="B290" s="10">
        <v>0</v>
      </c>
      <c r="C290" s="10">
        <v>2472861.89</v>
      </c>
      <c r="D290" s="10">
        <v>2472861.89</v>
      </c>
    </row>
    <row r="291" spans="1:4" x14ac:dyDescent="0.25">
      <c r="A291" s="2" t="str">
        <f>"3.1.8.00.30- Estacionamento Rotativo Digital"</f>
        <v>3.1.8.00.30- Estacionamento Rotativo Digital</v>
      </c>
      <c r="B291" s="10">
        <v>1080992.7</v>
      </c>
      <c r="C291" s="10">
        <v>-1080992.7</v>
      </c>
      <c r="D291" s="10">
        <v>0</v>
      </c>
    </row>
    <row r="292" spans="1:4" x14ac:dyDescent="0.25">
      <c r="A292" s="2" t="str">
        <f>"3.1.8.00.99- Despesas diversas"</f>
        <v>3.1.8.00.99- Despesas diversas</v>
      </c>
      <c r="B292" s="10">
        <v>9691.24</v>
      </c>
      <c r="C292" s="10">
        <v>1507.19</v>
      </c>
      <c r="D292" s="10">
        <v>11198.43</v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""</f>
        <v/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""</f>
        <v/>
      </c>
      <c r="B299" s="3" t="str">
        <f>""</f>
        <v/>
      </c>
      <c r="C299" s="3" t="str">
        <f>""</f>
        <v/>
      </c>
      <c r="D299" s="3" t="str">
        <f>""</f>
        <v/>
      </c>
    </row>
    <row r="300" spans="1:4" x14ac:dyDescent="0.25">
      <c r="A300" s="2" t="str">
        <f>""</f>
        <v/>
      </c>
      <c r="B300" s="3" t="str">
        <f>""</f>
        <v/>
      </c>
      <c r="C300" s="3" t="str">
        <f>""</f>
        <v/>
      </c>
      <c r="D300" s="3" t="str">
        <f>""</f>
        <v/>
      </c>
    </row>
    <row r="301" spans="1:4" x14ac:dyDescent="0.25">
      <c r="A301" s="2" t="str">
        <f>""</f>
        <v/>
      </c>
      <c r="B301" s="3" t="str">
        <f>""</f>
        <v/>
      </c>
      <c r="C301" s="3" t="str">
        <f>""</f>
        <v/>
      </c>
      <c r="D301" s="3" t="str">
        <f>""</f>
        <v/>
      </c>
    </row>
    <row r="302" spans="1:4" x14ac:dyDescent="0.25">
      <c r="A302" s="2" t="str">
        <f>""</f>
        <v/>
      </c>
      <c r="B302" s="3" t="str">
        <f>""</f>
        <v/>
      </c>
      <c r="C302" s="3" t="str">
        <f>""</f>
        <v/>
      </c>
      <c r="D302" s="3" t="str">
        <f>""</f>
        <v/>
      </c>
    </row>
    <row r="303" spans="1:4" x14ac:dyDescent="0.25">
      <c r="A303" s="2" t="str">
        <f>"RECEITAS"</f>
        <v>RECEITAS</v>
      </c>
      <c r="B303" s="3" t="str">
        <f>""</f>
        <v/>
      </c>
      <c r="C303" s="3" t="str">
        <f>""</f>
        <v/>
      </c>
      <c r="D303" s="3" t="str">
        <f>""</f>
        <v/>
      </c>
    </row>
    <row r="304" spans="1:4" x14ac:dyDescent="0.25">
      <c r="A304" s="2" t="str">
        <f>"4.0.0.00.00- RECEITAS"</f>
        <v>4.0.0.00.00- RECEITAS</v>
      </c>
      <c r="B304" s="10">
        <v>144517968.99000001</v>
      </c>
      <c r="C304" s="10">
        <v>14304427.6</v>
      </c>
      <c r="D304" s="10">
        <v>158822396.59</v>
      </c>
    </row>
    <row r="305" spans="1:4" x14ac:dyDescent="0.25">
      <c r="A305" s="2" t="str">
        <f>"4.1.0.00.00- RECEITAS BHTRANS"</f>
        <v>4.1.0.00.00- RECEITAS BHTRANS</v>
      </c>
      <c r="B305" s="10">
        <v>142774132.96000001</v>
      </c>
      <c r="C305" s="10">
        <v>14146751.869999999</v>
      </c>
      <c r="D305" s="10">
        <v>156920884.83000001</v>
      </c>
    </row>
    <row r="306" spans="1:4" x14ac:dyDescent="0.25">
      <c r="A306" s="2" t="str">
        <f>"4.1.1.00.00- RECEITAS OPERACIONAIS"</f>
        <v>4.1.1.00.00- RECEITAS OPERACIONAIS</v>
      </c>
      <c r="B306" s="10">
        <v>142161486.44</v>
      </c>
      <c r="C306" s="10">
        <v>14098043.140000001</v>
      </c>
      <c r="D306" s="10">
        <v>156259529.58000001</v>
      </c>
    </row>
    <row r="307" spans="1:4" x14ac:dyDescent="0.25">
      <c r="A307" s="2" t="str">
        <f>"4.1.1.00.05- Midia taxi, escolar e suplementar"</f>
        <v>4.1.1.00.05- Midia taxi, escolar e suplementar</v>
      </c>
      <c r="B307" s="10">
        <v>38380.089999999997</v>
      </c>
      <c r="C307" s="10">
        <v>1241.46</v>
      </c>
      <c r="D307" s="10">
        <v>39621.550000000003</v>
      </c>
    </row>
    <row r="308" spans="1:4" x14ac:dyDescent="0.25">
      <c r="A308" s="2" t="str">
        <f>"4.1.1.00.06- Midia em onibus"</f>
        <v>4.1.1.00.06- Midia em onibus</v>
      </c>
      <c r="B308" s="10">
        <v>695943.07</v>
      </c>
      <c r="C308" s="10">
        <v>73583.399999999994</v>
      </c>
      <c r="D308" s="10">
        <v>769526.47</v>
      </c>
    </row>
    <row r="309" spans="1:4" x14ac:dyDescent="0.25">
      <c r="A309" s="2" t="str">
        <f>"4.1.1.00.07- Midias diversas"</f>
        <v>4.1.1.00.07- Midias diversas</v>
      </c>
      <c r="B309" s="10">
        <v>95366.33</v>
      </c>
      <c r="C309" s="10">
        <v>8342.83</v>
      </c>
      <c r="D309" s="10">
        <v>103709.16</v>
      </c>
    </row>
    <row r="310" spans="1:4" x14ac:dyDescent="0.25">
      <c r="A310" s="2" t="str">
        <f>"4.1.1.00.08- Estacionamento Rotativo"</f>
        <v>4.1.1.00.08- Estacionamento Rotativo</v>
      </c>
      <c r="B310" s="10">
        <v>14645478.57</v>
      </c>
      <c r="C310" s="10">
        <v>-22181.17</v>
      </c>
      <c r="D310" s="10">
        <v>14623297.4</v>
      </c>
    </row>
    <row r="311" spans="1:4" x14ac:dyDescent="0.25">
      <c r="A311" s="2" t="str">
        <f>"4.1.1.00.10- Transf. financeira PBH"</f>
        <v>4.1.1.00.10- Transf. financeira PBH</v>
      </c>
      <c r="B311" s="10">
        <v>115881418.17</v>
      </c>
      <c r="C311" s="10">
        <v>11667716.029999999</v>
      </c>
      <c r="D311" s="10">
        <v>127549134.2</v>
      </c>
    </row>
    <row r="312" spans="1:4" x14ac:dyDescent="0.25">
      <c r="A312" s="2" t="str">
        <f>"4.1.1.00.16- Multas transporte coletivo"</f>
        <v>4.1.1.00.16- Multas transporte coletivo</v>
      </c>
      <c r="B312" s="10">
        <v>3778658.38</v>
      </c>
      <c r="C312" s="10">
        <v>411739.47</v>
      </c>
      <c r="D312" s="10">
        <v>4190397.85</v>
      </c>
    </row>
    <row r="313" spans="1:4" x14ac:dyDescent="0.25">
      <c r="A313" s="2" t="str">
        <f>"4.1.1.00.17- Multas transporte publico"</f>
        <v>4.1.1.00.17- Multas transporte publico</v>
      </c>
      <c r="B313" s="10">
        <v>847602.97</v>
      </c>
      <c r="C313" s="10">
        <v>93720.98</v>
      </c>
      <c r="D313" s="10">
        <v>941323.95</v>
      </c>
    </row>
    <row r="314" spans="1:4" x14ac:dyDescent="0.25">
      <c r="A314" s="2" t="str">
        <f>"4.1.1.00.19- Subconcessao frotas de taxi"</f>
        <v>4.1.1.00.19- Subconcessao frotas de taxi</v>
      </c>
      <c r="B314" s="10">
        <v>1065294.8500000001</v>
      </c>
      <c r="C314" s="10">
        <v>143599.6</v>
      </c>
      <c r="D314" s="10">
        <v>1208894.45</v>
      </c>
    </row>
    <row r="315" spans="1:4" x14ac:dyDescent="0.25">
      <c r="A315" s="2" t="str">
        <f>"4.1.1.00.21- Estacionamento Rotativo Digital"</f>
        <v>4.1.1.00.21- Estacionamento Rotativo Digital</v>
      </c>
      <c r="B315" s="10">
        <v>5113344.01</v>
      </c>
      <c r="C315" s="10">
        <v>1720280.54</v>
      </c>
      <c r="D315" s="10">
        <v>6833624.5499999998</v>
      </c>
    </row>
    <row r="316" spans="1:4" x14ac:dyDescent="0.25">
      <c r="A316" s="2" t="str">
        <f>"4.1.8.00.00- RECEITAS ALUGUEIS ESTACOES"</f>
        <v>4.1.8.00.00- RECEITAS ALUGUEIS ESTACOES</v>
      </c>
      <c r="B316" s="10">
        <v>612646.52</v>
      </c>
      <c r="C316" s="10">
        <v>48708.73</v>
      </c>
      <c r="D316" s="10">
        <v>661355.25</v>
      </c>
    </row>
    <row r="317" spans="1:4" x14ac:dyDescent="0.25">
      <c r="A317" s="2" t="str">
        <f>"4.1.8.00.01- Alugueis Estacoes"</f>
        <v>4.1.8.00.01- Alugueis Estacoes</v>
      </c>
      <c r="B317" s="10">
        <v>612646.52</v>
      </c>
      <c r="C317" s="10">
        <v>48708.73</v>
      </c>
      <c r="D317" s="10">
        <v>661355.25</v>
      </c>
    </row>
    <row r="318" spans="1:4" x14ac:dyDescent="0.25">
      <c r="A318" s="2" t="str">
        <f>"4.2.0.00.00- RECEITAS FINANCEIRAS"</f>
        <v>4.2.0.00.00- RECEITAS FINANCEIRAS</v>
      </c>
      <c r="B318" s="10">
        <v>494232.17</v>
      </c>
      <c r="C318" s="10">
        <v>70725.02</v>
      </c>
      <c r="D318" s="10">
        <v>564957.18999999994</v>
      </c>
    </row>
    <row r="319" spans="1:4" x14ac:dyDescent="0.25">
      <c r="A319" s="2" t="str">
        <f>"4.2.1.00.00- RECEITAS FINANCEIRAS"</f>
        <v>4.2.1.00.00- RECEITAS FINANCEIRAS</v>
      </c>
      <c r="B319" s="10">
        <v>493619.15</v>
      </c>
      <c r="C319" s="10">
        <v>70717.88</v>
      </c>
      <c r="D319" s="10">
        <v>564337.03</v>
      </c>
    </row>
    <row r="320" spans="1:4" x14ac:dyDescent="0.25">
      <c r="A320" s="2" t="str">
        <f>"4.2.1.00.01- Rendimentos aplic. Financeira"</f>
        <v>4.2.1.00.01- Rendimentos aplic. Financeira</v>
      </c>
      <c r="B320" s="10">
        <v>485929.79</v>
      </c>
      <c r="C320" s="10">
        <v>70717.88</v>
      </c>
      <c r="D320" s="10">
        <v>556647.67000000004</v>
      </c>
    </row>
    <row r="321" spans="1:4" x14ac:dyDescent="0.25">
      <c r="A321" s="2" t="str">
        <f>"4.2.1.00.02- Juros ativos"</f>
        <v>4.2.1.00.02- Juros ativos</v>
      </c>
      <c r="B321" s="10">
        <v>3093.86</v>
      </c>
      <c r="C321" s="10">
        <v>0</v>
      </c>
      <c r="D321" s="10">
        <v>3093.86</v>
      </c>
    </row>
    <row r="322" spans="1:4" x14ac:dyDescent="0.25">
      <c r="A322" s="2" t="str">
        <f>"4.2.1.00.05- Receitas Financeiras - Convênio"</f>
        <v>4.2.1.00.05- Receitas Financeiras - Convênio</v>
      </c>
      <c r="B322" s="10">
        <v>4595.49</v>
      </c>
      <c r="C322" s="10">
        <v>0</v>
      </c>
      <c r="D322" s="10">
        <v>4595.49</v>
      </c>
    </row>
    <row r="323" spans="1:4" x14ac:dyDescent="0.25">
      <c r="A323" s="2" t="str">
        <f>"4.2.1.00.06- Descontos financeiros obtidos"</f>
        <v>4.2.1.00.06- Descontos financeiros obtidos</v>
      </c>
      <c r="B323" s="10">
        <v>0.01</v>
      </c>
      <c r="C323" s="10">
        <v>0</v>
      </c>
      <c r="D323" s="10">
        <v>0.01</v>
      </c>
    </row>
    <row r="324" spans="1:4" x14ac:dyDescent="0.25">
      <c r="A324" s="2" t="str">
        <f>"4.2.2.00.00- VARIACOES MONETARIAS ATIVAS"</f>
        <v>4.2.2.00.00- VARIACOES MONETARIAS ATIVAS</v>
      </c>
      <c r="B324" s="10">
        <v>613.02</v>
      </c>
      <c r="C324" s="10">
        <v>7.14</v>
      </c>
      <c r="D324" s="10">
        <v>620.16</v>
      </c>
    </row>
    <row r="325" spans="1:4" x14ac:dyDescent="0.25">
      <c r="A325" s="2" t="str">
        <f>"4.2.2.00.01- Variações monetárias ativas"</f>
        <v>4.2.2.00.01- Variações monetárias ativas</v>
      </c>
      <c r="B325" s="10">
        <v>613.02</v>
      </c>
      <c r="C325" s="10">
        <v>7.14</v>
      </c>
      <c r="D325" s="10">
        <v>620.16</v>
      </c>
    </row>
    <row r="326" spans="1:4" x14ac:dyDescent="0.25">
      <c r="A326" s="2" t="str">
        <f>"4.3.0.00.00- OUTRAS RECEITAS"</f>
        <v>4.3.0.00.00- OUTRAS RECEITAS</v>
      </c>
      <c r="B326" s="10">
        <v>1249603.8600000001</v>
      </c>
      <c r="C326" s="10">
        <v>86950.71</v>
      </c>
      <c r="D326" s="10">
        <v>1336554.57</v>
      </c>
    </row>
    <row r="327" spans="1:4" x14ac:dyDescent="0.25">
      <c r="A327" s="2" t="str">
        <f>"4.3.1.00.00- OUTRAS RECEITAS"</f>
        <v>4.3.1.00.00- OUTRAS RECEITAS</v>
      </c>
      <c r="B327" s="10">
        <v>1249603.8600000001</v>
      </c>
      <c r="C327" s="10">
        <v>86950.71</v>
      </c>
      <c r="D327" s="10">
        <v>1336554.57</v>
      </c>
    </row>
    <row r="328" spans="1:4" x14ac:dyDescent="0.25">
      <c r="A328" s="2" t="str">
        <f>"4.3.1.00.02- Doacoes"</f>
        <v>4.3.1.00.02- Doacoes</v>
      </c>
      <c r="B328" s="10">
        <v>54589</v>
      </c>
      <c r="C328" s="10">
        <v>0</v>
      </c>
      <c r="D328" s="10">
        <v>54589</v>
      </c>
    </row>
    <row r="329" spans="1:4" x14ac:dyDescent="0.25">
      <c r="A329" s="2" t="str">
        <f>"4.3.1.00.04- Receitas Diversas"</f>
        <v>4.3.1.00.04- Receitas Diversas</v>
      </c>
      <c r="B329" s="10">
        <v>915657.56</v>
      </c>
      <c r="C329" s="10">
        <v>57655.71</v>
      </c>
      <c r="D329" s="10">
        <v>973313.27</v>
      </c>
    </row>
    <row r="330" spans="1:4" x14ac:dyDescent="0.25">
      <c r="A330" s="2" t="str">
        <f>"4.3.1.00.07- Concessão de Abrigo de ônibus"</f>
        <v>4.3.1.00.07- Concessão de Abrigo de ônibus</v>
      </c>
      <c r="B330" s="10">
        <v>279357.3</v>
      </c>
      <c r="C330" s="10">
        <v>29295</v>
      </c>
      <c r="D330" s="10">
        <v>308652.3</v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x14ac:dyDescent="0.25">
      <c r="A350" s="2" t="str">
        <f>""</f>
        <v/>
      </c>
      <c r="B350" s="3" t="str">
        <f>""</f>
        <v/>
      </c>
      <c r="C350" s="3" t="str">
        <f>""</f>
        <v/>
      </c>
      <c r="D350" s="3" t="str">
        <f>""</f>
        <v/>
      </c>
    </row>
    <row r="351" spans="1:4" x14ac:dyDescent="0.25">
      <c r="A351" s="2" t="str">
        <f>""</f>
        <v/>
      </c>
      <c r="B351" s="3" t="str">
        <f>""</f>
        <v/>
      </c>
      <c r="C351" s="3" t="str">
        <f>""</f>
        <v/>
      </c>
      <c r="D351" s="3" t="str">
        <f>""</f>
        <v/>
      </c>
    </row>
    <row r="352" spans="1:4" x14ac:dyDescent="0.25">
      <c r="A352" s="2" t="str">
        <f>""</f>
        <v/>
      </c>
      <c r="B352" s="3" t="str">
        <f>""</f>
        <v/>
      </c>
      <c r="C352" s="3" t="str">
        <f>""</f>
        <v/>
      </c>
      <c r="D352" s="3" t="str">
        <f>""</f>
        <v/>
      </c>
    </row>
    <row r="353" spans="1:4" x14ac:dyDescent="0.25">
      <c r="A353" s="2" t="str">
        <f>""</f>
        <v/>
      </c>
      <c r="B353" s="3" t="str">
        <f>""</f>
        <v/>
      </c>
      <c r="C353" s="3" t="str">
        <f>""</f>
        <v/>
      </c>
      <c r="D353" s="3" t="str">
        <f>""</f>
        <v/>
      </c>
    </row>
    <row r="354" spans="1:4" x14ac:dyDescent="0.25">
      <c r="A354" s="2" t="str">
        <f>""</f>
        <v/>
      </c>
      <c r="B354" s="3" t="str">
        <f>""</f>
        <v/>
      </c>
      <c r="C354" s="3" t="str">
        <f>""</f>
        <v/>
      </c>
      <c r="D354" s="3" t="str">
        <f>""</f>
        <v/>
      </c>
    </row>
    <row r="355" spans="1:4" ht="15.75" thickBot="1" x14ac:dyDescent="0.3">
      <c r="A355" s="4" t="str">
        <f>"APURACAO DE RESULTADOS"</f>
        <v>APURACAO DE RESULTADOS</v>
      </c>
      <c r="B355" s="5" t="str">
        <f>""</f>
        <v/>
      </c>
      <c r="C355" s="5" t="str">
        <f>""</f>
        <v/>
      </c>
      <c r="D355" s="5" t="str">
        <f>""</f>
        <v/>
      </c>
    </row>
    <row r="356" spans="1:4" x14ac:dyDescent="0.25">
      <c r="A356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1"/>
  <sheetViews>
    <sheetView workbookViewId="0"/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6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35392289.420000002</v>
      </c>
      <c r="C4" s="10">
        <v>2131520.13</v>
      </c>
      <c r="D4" s="10">
        <v>37523809.549999997</v>
      </c>
    </row>
    <row r="5" spans="1:4" x14ac:dyDescent="0.25">
      <c r="A5" s="2" t="str">
        <f>"1.1.0.00.00- ATIVO CIRCULANTE"</f>
        <v>1.1.0.00.00- ATIVO CIRCULANTE</v>
      </c>
      <c r="B5" s="10">
        <v>15842269.460000001</v>
      </c>
      <c r="C5" s="10">
        <v>1805251.79</v>
      </c>
      <c r="D5" s="10">
        <v>17647521.25</v>
      </c>
    </row>
    <row r="6" spans="1:4" x14ac:dyDescent="0.25">
      <c r="A6" s="2" t="str">
        <f>"1.1.1.00.00- DISPONIVEL"</f>
        <v>1.1.1.00.00- DISPONIVEL</v>
      </c>
      <c r="B6" s="10">
        <v>6216664.3600000003</v>
      </c>
      <c r="C6" s="10">
        <v>1367773.99</v>
      </c>
      <c r="D6" s="10">
        <v>7584438.3499999996</v>
      </c>
    </row>
    <row r="7" spans="1:4" x14ac:dyDescent="0.25">
      <c r="A7" s="2" t="str">
        <f>"1.1.1.02.00- BANCOS C/MOVIMENTO"</f>
        <v>1.1.1.02.00- BANCOS C/MOVIMENTO</v>
      </c>
      <c r="B7" s="10">
        <v>387555.53</v>
      </c>
      <c r="C7" s="10">
        <v>60050.89</v>
      </c>
      <c r="D7" s="10">
        <v>447606.42</v>
      </c>
    </row>
    <row r="8" spans="1:4" x14ac:dyDescent="0.25">
      <c r="A8" s="2" t="str">
        <f>"1.1.1.02.11- Banco do Brasil S/A - 720.000-5"</f>
        <v>1.1.1.02.11- Banco do Brasil S/A - 720.000-5</v>
      </c>
      <c r="B8" s="10">
        <v>8.18</v>
      </c>
      <c r="C8" s="10">
        <v>-8.18</v>
      </c>
      <c r="D8" s="10">
        <v>0</v>
      </c>
    </row>
    <row r="9" spans="1:4" x14ac:dyDescent="0.25">
      <c r="A9" s="2" t="str">
        <f>"1.1.1.02.12- Banco do Brasil S/A - 720.001-3"</f>
        <v>1.1.1.02.12- Banco do Brasil S/A - 720.001-3</v>
      </c>
      <c r="B9" s="10">
        <v>6.47</v>
      </c>
      <c r="C9" s="10">
        <v>1016.52</v>
      </c>
      <c r="D9" s="10">
        <v>1022.99</v>
      </c>
    </row>
    <row r="10" spans="1:4" x14ac:dyDescent="0.25">
      <c r="A10" s="2" t="str">
        <f>"1.1.1.02.29- Caixa Econômica Federal - 3289-3 Arrecad"</f>
        <v>1.1.1.02.29- Caixa Econômica Federal - 3289-3 Arrecad</v>
      </c>
      <c r="B10" s="10">
        <v>27796.32</v>
      </c>
      <c r="C10" s="10">
        <v>-5586.52</v>
      </c>
      <c r="D10" s="10">
        <v>22209.8</v>
      </c>
    </row>
    <row r="11" spans="1:4" x14ac:dyDescent="0.25">
      <c r="A11" s="2" t="str">
        <f>"1.1.1.02.30- Caixa Econômica Federal - 3291-5 Movimen"</f>
        <v>1.1.1.02.30- Caixa Econômica Federal - 3291-5 Movimen</v>
      </c>
      <c r="B11" s="10">
        <v>65.69</v>
      </c>
      <c r="C11" s="10">
        <v>3934.96</v>
      </c>
      <c r="D11" s="10">
        <v>4000.65</v>
      </c>
    </row>
    <row r="12" spans="1:4" x14ac:dyDescent="0.25">
      <c r="A12" s="2" t="str">
        <f>"1.1.1.02.32- Caixa Econômica Federal - 3292-3 Leilão"</f>
        <v>1.1.1.02.32- Caixa Econômica Federal - 3292-3 Leilão</v>
      </c>
      <c r="B12" s="10">
        <v>80</v>
      </c>
      <c r="C12" s="10">
        <v>0</v>
      </c>
      <c r="D12" s="10">
        <v>80</v>
      </c>
    </row>
    <row r="13" spans="1:4" x14ac:dyDescent="0.25">
      <c r="A13" s="2" t="str">
        <f>"1.1.1.02.37- Caixa Econômica Federal - 3299-0Leilão16"</f>
        <v>1.1.1.02.37- Caixa Econômica Federal - 3299-0Leilão16</v>
      </c>
      <c r="B13" s="10">
        <v>80</v>
      </c>
      <c r="C13" s="10">
        <v>0</v>
      </c>
      <c r="D13" s="10">
        <v>80</v>
      </c>
    </row>
    <row r="14" spans="1:4" x14ac:dyDescent="0.25">
      <c r="A14" s="2" t="str">
        <f>"1.1.1.02.39- Caixa Econômica Federal - 3301-6 Mídia"</f>
        <v>1.1.1.02.39- Caixa Econômica Federal - 3301-6 Mídia</v>
      </c>
      <c r="B14" s="10">
        <v>1412.26</v>
      </c>
      <c r="C14" s="10">
        <v>-280</v>
      </c>
      <c r="D14" s="10">
        <v>1132.26</v>
      </c>
    </row>
    <row r="15" spans="1:4" x14ac:dyDescent="0.25">
      <c r="A15" s="2" t="str">
        <f>"1.1.1.02.40- Caixa Econômica Federal - 3302-4 Mídia"</f>
        <v>1.1.1.02.40- Caixa Econômica Federal - 3302-4 Mídia</v>
      </c>
      <c r="B15" s="10">
        <v>56388.56</v>
      </c>
      <c r="C15" s="10">
        <v>398.57</v>
      </c>
      <c r="D15" s="10">
        <v>56787.13</v>
      </c>
    </row>
    <row r="16" spans="1:4" x14ac:dyDescent="0.25">
      <c r="A16" s="2" t="str">
        <f>"1.1.1.02.41- Caixa Econômica Federal - 3303-2Rotativo"</f>
        <v>1.1.1.02.41- Caixa Econômica Federal - 3303-2Rotativo</v>
      </c>
      <c r="B16" s="10">
        <v>295935.55</v>
      </c>
      <c r="C16" s="10">
        <v>56988.04</v>
      </c>
      <c r="D16" s="10">
        <v>352923.59</v>
      </c>
    </row>
    <row r="17" spans="1:4" x14ac:dyDescent="0.25">
      <c r="A17" s="2" t="str">
        <f>"1.1.1.02.46- Caixa Econômica Federal - 3309-1 Rot int"</f>
        <v>1.1.1.02.46- Caixa Econômica Federal - 3309-1 Rot int</v>
      </c>
      <c r="B17" s="10">
        <v>5742</v>
      </c>
      <c r="C17" s="10">
        <v>3586</v>
      </c>
      <c r="D17" s="10">
        <v>9328</v>
      </c>
    </row>
    <row r="18" spans="1:4" x14ac:dyDescent="0.25">
      <c r="A18" s="2" t="str">
        <f>"1.1.1.02.51- Caixa Econômica Federal -3501-9Leillão17"</f>
        <v>1.1.1.02.51- Caixa Econômica Federal -3501-9Leillão17</v>
      </c>
      <c r="B18" s="10">
        <v>40.5</v>
      </c>
      <c r="C18" s="10">
        <v>1.5</v>
      </c>
      <c r="D18" s="10">
        <v>42</v>
      </c>
    </row>
    <row r="19" spans="1:4" x14ac:dyDescent="0.25">
      <c r="A19" s="2" t="str">
        <f>"1.1.1.03.00- APLICACOES FINANCEIRAS"</f>
        <v>1.1.1.03.00- APLICACOES FINANCEIRAS</v>
      </c>
      <c r="B19" s="10">
        <v>3350815.49</v>
      </c>
      <c r="C19" s="10">
        <v>1371057.68</v>
      </c>
      <c r="D19" s="10">
        <v>4721873.17</v>
      </c>
    </row>
    <row r="20" spans="1:4" x14ac:dyDescent="0.25">
      <c r="A20" s="2" t="str">
        <f>"1.1.1.03.23- Caixa Econômica Federal - 3291-5"</f>
        <v>1.1.1.03.23- Caixa Econômica Federal - 3291-5</v>
      </c>
      <c r="B20" s="10">
        <v>1996857.83</v>
      </c>
      <c r="C20" s="10">
        <v>1367239.54</v>
      </c>
      <c r="D20" s="10">
        <v>3364097.37</v>
      </c>
    </row>
    <row r="21" spans="1:4" x14ac:dyDescent="0.25">
      <c r="A21" s="2" t="str">
        <f>"1.1.1.03.25- Caixa Econômica Federal - 3292-3 Leilão"</f>
        <v>1.1.1.03.25- Caixa Econômica Federal - 3292-3 Leilão</v>
      </c>
      <c r="B21" s="10">
        <v>72627.63</v>
      </c>
      <c r="C21" s="10">
        <v>315.35000000000002</v>
      </c>
      <c r="D21" s="10">
        <v>72942.98</v>
      </c>
    </row>
    <row r="22" spans="1:4" x14ac:dyDescent="0.25">
      <c r="A22" s="2" t="str">
        <f>"1.1.1.03.26- Caixa Econômica Federal - 3295-8Leilão13"</f>
        <v>1.1.1.03.26- Caixa Econômica Federal - 3295-8Leilão13</v>
      </c>
      <c r="B22" s="10">
        <v>198903.12</v>
      </c>
      <c r="C22" s="10">
        <v>863.63</v>
      </c>
      <c r="D22" s="10">
        <v>199766.75</v>
      </c>
    </row>
    <row r="23" spans="1:4" x14ac:dyDescent="0.25">
      <c r="A23" s="2" t="str">
        <f>"1.1.1.03.29- Caixa Econômica Federal - 3298-2Leilão15"</f>
        <v>1.1.1.03.29- Caixa Econômica Federal - 3298-2Leilão15</v>
      </c>
      <c r="B23" s="10">
        <v>99431.85</v>
      </c>
      <c r="C23" s="10">
        <v>367.55</v>
      </c>
      <c r="D23" s="10">
        <v>99799.4</v>
      </c>
    </row>
    <row r="24" spans="1:4" x14ac:dyDescent="0.25">
      <c r="A24" s="2" t="str">
        <f>"1.1.1.03.30- Caixa Econômica Federal - 3299-0Leilão16"</f>
        <v>1.1.1.03.30- Caixa Econômica Federal - 3299-0Leilão16</v>
      </c>
      <c r="B24" s="10">
        <v>125109.58</v>
      </c>
      <c r="C24" s="10">
        <v>543.22</v>
      </c>
      <c r="D24" s="10">
        <v>125652.8</v>
      </c>
    </row>
    <row r="25" spans="1:4" x14ac:dyDescent="0.25">
      <c r="A25" s="2" t="str">
        <f>"1.1.1.03.31- Caixa Econômica Federal - 3300-8Leilão16"</f>
        <v>1.1.1.03.31- Caixa Econômica Federal - 3300-8Leilão16</v>
      </c>
      <c r="B25" s="10">
        <v>44924.74</v>
      </c>
      <c r="C25" s="10">
        <v>166.07</v>
      </c>
      <c r="D25" s="10">
        <v>45090.81</v>
      </c>
    </row>
    <row r="26" spans="1:4" x14ac:dyDescent="0.25">
      <c r="A26" s="2" t="str">
        <f>"1.1.1.03.32- Caixa Econômica - 3301-6 Mídia"</f>
        <v>1.1.1.03.32- Caixa Econômica - 3301-6 Mídia</v>
      </c>
      <c r="B26" s="10">
        <v>80306.13</v>
      </c>
      <c r="C26" s="10">
        <v>583.46</v>
      </c>
      <c r="D26" s="10">
        <v>80889.59</v>
      </c>
    </row>
    <row r="27" spans="1:4" x14ac:dyDescent="0.25">
      <c r="A27" s="2" t="str">
        <f>"1.1.1.03.35- Caixa Econômica - 3304-0Caução"</f>
        <v>1.1.1.03.35- Caixa Econômica - 3304-0Caução</v>
      </c>
      <c r="B27" s="10">
        <v>427334.73</v>
      </c>
      <c r="C27" s="10">
        <v>1592.14</v>
      </c>
      <c r="D27" s="10">
        <v>428926.87</v>
      </c>
    </row>
    <row r="28" spans="1:4" x14ac:dyDescent="0.25">
      <c r="A28" s="2" t="str">
        <f>"1.1.1.03.36- Caixa Econômica - 3305-9Sucumb."</f>
        <v>1.1.1.03.36- Caixa Econômica - 3305-9Sucumb.</v>
      </c>
      <c r="B28" s="10">
        <v>4766.1099999999997</v>
      </c>
      <c r="C28" s="10">
        <v>15.76</v>
      </c>
      <c r="D28" s="10">
        <v>4781.87</v>
      </c>
    </row>
    <row r="29" spans="1:4" x14ac:dyDescent="0.25">
      <c r="A29" s="2" t="str">
        <f>"1.1.1.03.38- Caixa Econômica - 3308-3Leilão"</f>
        <v>1.1.1.03.38- Caixa Econômica - 3308-3Leilão</v>
      </c>
      <c r="B29" s="10">
        <v>2148.9499999999998</v>
      </c>
      <c r="C29" s="10">
        <v>7.1</v>
      </c>
      <c r="D29" s="10">
        <v>2156.0500000000002</v>
      </c>
    </row>
    <row r="30" spans="1:4" x14ac:dyDescent="0.25">
      <c r="A30" s="2" t="str">
        <f>"1.1.1.03.41- Caixa Econômica - 531-0 Aci moto poupanç"</f>
        <v>1.1.1.03.41- Caixa Econômica - 531-0 Aci moto poupanç</v>
      </c>
      <c r="B30" s="10">
        <v>4416.8999999999996</v>
      </c>
      <c r="C30" s="10">
        <v>0</v>
      </c>
      <c r="D30" s="10">
        <v>4416.8999999999996</v>
      </c>
    </row>
    <row r="31" spans="1:4" x14ac:dyDescent="0.25">
      <c r="A31" s="2" t="str">
        <f>"1.1.1.03.42- Caixa Econômica - 532-9 Acid Ped Poupanç"</f>
        <v>1.1.1.03.42- Caixa Econômica - 532-9 Acid Ped Poupanç</v>
      </c>
      <c r="B31" s="10">
        <v>90020.86</v>
      </c>
      <c r="C31" s="10">
        <v>-1135.5</v>
      </c>
      <c r="D31" s="10">
        <v>88885.36</v>
      </c>
    </row>
    <row r="32" spans="1:4" x14ac:dyDescent="0.25">
      <c r="A32" s="2" t="str">
        <f>"1.1.1.03.43- Caixa Econômica - 534-5 Codemig Poupança"</f>
        <v>1.1.1.03.43- Caixa Econômica - 534-5 Codemig Poupança</v>
      </c>
      <c r="B32" s="10">
        <v>25711.68</v>
      </c>
      <c r="C32" s="10">
        <v>0</v>
      </c>
      <c r="D32" s="10">
        <v>25711.68</v>
      </c>
    </row>
    <row r="33" spans="1:4" x14ac:dyDescent="0.25">
      <c r="A33" s="2" t="str">
        <f>"1.1.1.03.44- Caixa Econômica - 535-3 Turblog Poupança"</f>
        <v>1.1.1.03.44- Caixa Econômica - 535-3 Turblog Poupança</v>
      </c>
      <c r="B33" s="10">
        <v>63248.12</v>
      </c>
      <c r="C33" s="10">
        <v>0</v>
      </c>
      <c r="D33" s="10">
        <v>63248.12</v>
      </c>
    </row>
    <row r="34" spans="1:4" x14ac:dyDescent="0.25">
      <c r="A34" s="2" t="str">
        <f>"1.1.1.03.45- Caixa Econômica Federal - 3393-8Leilão17"</f>
        <v>1.1.1.03.45- Caixa Econômica Federal - 3393-8Leilão17</v>
      </c>
      <c r="B34" s="10">
        <v>114859.42</v>
      </c>
      <c r="C34" s="10">
        <v>498.72</v>
      </c>
      <c r="D34" s="10">
        <v>115358.14</v>
      </c>
    </row>
    <row r="35" spans="1:4" x14ac:dyDescent="0.25">
      <c r="A35" s="2" t="str">
        <f>"1.1.1.03.46- Caixa Econômica Federal -3501-9Leillão17"</f>
        <v>1.1.1.03.46- Caixa Econômica Federal -3501-9Leillão17</v>
      </c>
      <c r="B35" s="10">
        <v>147.84</v>
      </c>
      <c r="C35" s="10">
        <v>0.64</v>
      </c>
      <c r="D35" s="10">
        <v>148.47999999999999</v>
      </c>
    </row>
    <row r="36" spans="1:4" x14ac:dyDescent="0.25">
      <c r="A36" s="2" t="str">
        <f>"1.1.1.04.00- BANCOS C/VINCULADA-PAMEH"</f>
        <v>1.1.1.04.00- BANCOS C/VINCULADA-PAMEH</v>
      </c>
      <c r="B36" s="10">
        <v>2478293.34</v>
      </c>
      <c r="C36" s="10">
        <v>-63334.58</v>
      </c>
      <c r="D36" s="10">
        <v>2414958.7599999998</v>
      </c>
    </row>
    <row r="37" spans="1:4" x14ac:dyDescent="0.25">
      <c r="A37" s="2" t="str">
        <f>"1.1.1.04.07- Caixa Econômica Federal - 3294-0"</f>
        <v>1.1.1.04.07- Caixa Econômica Federal - 3294-0</v>
      </c>
      <c r="B37" s="10">
        <v>665.3</v>
      </c>
      <c r="C37" s="10">
        <v>-65.290000000000006</v>
      </c>
      <c r="D37" s="10">
        <v>600.01</v>
      </c>
    </row>
    <row r="38" spans="1:4" x14ac:dyDescent="0.25">
      <c r="A38" s="2" t="str">
        <f>"1.1.1.04.08- Caixa Econômica Federal - 3294-0 Aplic."</f>
        <v>1.1.1.04.08- Caixa Econômica Federal - 3294-0 Aplic.</v>
      </c>
      <c r="B38" s="10">
        <v>2477628.04</v>
      </c>
      <c r="C38" s="10">
        <v>-63269.29</v>
      </c>
      <c r="D38" s="10">
        <v>2414358.75</v>
      </c>
    </row>
    <row r="39" spans="1:4" x14ac:dyDescent="0.25">
      <c r="A39" s="2" t="str">
        <f>"1.1.2.00.00- REALIZAVEL A CURTO PRAZO"</f>
        <v>1.1.2.00.00- REALIZAVEL A CURTO PRAZO</v>
      </c>
      <c r="B39" s="10">
        <v>9625605.0999999996</v>
      </c>
      <c r="C39" s="10">
        <v>437477.8</v>
      </c>
      <c r="D39" s="10">
        <v>10063082.9</v>
      </c>
    </row>
    <row r="40" spans="1:4" x14ac:dyDescent="0.25">
      <c r="A40" s="2" t="str">
        <f>"1.1.2.01.00- CONTAS A RECEBER"</f>
        <v>1.1.2.01.00- CONTAS A RECEBER</v>
      </c>
      <c r="B40" s="10">
        <v>4884683.96</v>
      </c>
      <c r="C40" s="10">
        <v>86263.09</v>
      </c>
      <c r="D40" s="10">
        <v>4970947.05</v>
      </c>
    </row>
    <row r="41" spans="1:4" x14ac:dyDescent="0.25">
      <c r="A41" s="2" t="str">
        <f>"1.1.2.01.89- Multas Transporte Coletivo"</f>
        <v>1.1.2.01.89- Multas Transporte Coletivo</v>
      </c>
      <c r="B41" s="10">
        <v>5911502.46</v>
      </c>
      <c r="C41" s="10">
        <v>95847.88</v>
      </c>
      <c r="D41" s="10">
        <v>6007350.3399999999</v>
      </c>
    </row>
    <row r="42" spans="1:4" x14ac:dyDescent="0.25">
      <c r="A42" s="2" t="str">
        <f>"1.1.2.01.94- Midia Onibus a Receber"</f>
        <v>1.1.2.01.94- Midia Onibus a Receber</v>
      </c>
      <c r="B42" s="10">
        <v>253567.34</v>
      </c>
      <c r="C42" s="10">
        <v>0</v>
      </c>
      <c r="D42" s="10">
        <v>253567.34</v>
      </c>
    </row>
    <row r="43" spans="1:4" x14ac:dyDescent="0.25">
      <c r="A43" s="2" t="str">
        <f>"1.1.2.01.99- (-) Provisao para Perdas"</f>
        <v>1.1.2.01.99- (-) Provisao para Perdas</v>
      </c>
      <c r="B43" s="10">
        <v>-1280385.8400000001</v>
      </c>
      <c r="C43" s="10">
        <v>-9584.7900000000009</v>
      </c>
      <c r="D43" s="10">
        <v>-1289970.6299999999</v>
      </c>
    </row>
    <row r="44" spans="1:4" x14ac:dyDescent="0.25">
      <c r="A44" s="2" t="str">
        <f>"1.1.2.06.00- ADIANTAMENTO A EMPREGADOS"</f>
        <v>1.1.2.06.00- ADIANTAMENTO A EMPREGADOS</v>
      </c>
      <c r="B44" s="10">
        <v>1232114.93</v>
      </c>
      <c r="C44" s="10">
        <v>654676.87</v>
      </c>
      <c r="D44" s="10">
        <v>1886791.8</v>
      </c>
    </row>
    <row r="45" spans="1:4" x14ac:dyDescent="0.25">
      <c r="A45" s="2" t="str">
        <f>"1.1.2.06.01- Adiantamento de Ferias"</f>
        <v>1.1.2.06.01- Adiantamento de Ferias</v>
      </c>
      <c r="B45" s="10">
        <v>547651.4</v>
      </c>
      <c r="C45" s="10">
        <v>509314.39</v>
      </c>
      <c r="D45" s="10">
        <v>1056965.79</v>
      </c>
    </row>
    <row r="46" spans="1:4" x14ac:dyDescent="0.25">
      <c r="A46" s="2" t="str">
        <f>"1.1.2.06.02- Adiantamento de 13. Salario"</f>
        <v>1.1.2.06.02- Adiantamento de 13. Salario</v>
      </c>
      <c r="B46" s="10">
        <v>377623.56</v>
      </c>
      <c r="C46" s="10">
        <v>148400.13</v>
      </c>
      <c r="D46" s="10">
        <v>526023.68999999994</v>
      </c>
    </row>
    <row r="47" spans="1:4" x14ac:dyDescent="0.25">
      <c r="A47" s="2" t="str">
        <f>"1.1.2.06.03- Adiant. de Salario/Parc. Ferias"</f>
        <v>1.1.2.06.03- Adiant. de Salario/Parc. Ferias</v>
      </c>
      <c r="B47" s="10">
        <v>143948.42000000001</v>
      </c>
      <c r="C47" s="10">
        <v>-9249.5499999999993</v>
      </c>
      <c r="D47" s="10">
        <v>134698.87</v>
      </c>
    </row>
    <row r="48" spans="1:4" x14ac:dyDescent="0.25">
      <c r="A48" s="2" t="str">
        <f>"1.1.2.06.07- Adiantamento Pensao s/ Ferias"</f>
        <v>1.1.2.06.07- Adiantamento Pensao s/ Ferias</v>
      </c>
      <c r="B48" s="10">
        <v>162891.54999999999</v>
      </c>
      <c r="C48" s="10">
        <v>6211.9</v>
      </c>
      <c r="D48" s="10">
        <v>169103.45</v>
      </c>
    </row>
    <row r="49" spans="1:4" x14ac:dyDescent="0.25">
      <c r="A49" s="2" t="str">
        <f>"1.1.2.08.00- ALMOXARIFADO"</f>
        <v>1.1.2.08.00- ALMOXARIFADO</v>
      </c>
      <c r="B49" s="10">
        <v>227822.03</v>
      </c>
      <c r="C49" s="10">
        <v>-15999.79</v>
      </c>
      <c r="D49" s="10">
        <v>211822.24</v>
      </c>
    </row>
    <row r="50" spans="1:4" x14ac:dyDescent="0.25">
      <c r="A50" s="2" t="str">
        <f>"1.1.2.08.01- Material em Estoque"</f>
        <v>1.1.2.08.01- Material em Estoque</v>
      </c>
      <c r="B50" s="10">
        <v>227822.03</v>
      </c>
      <c r="C50" s="10">
        <v>-15999.79</v>
      </c>
      <c r="D50" s="10">
        <v>211822.24</v>
      </c>
    </row>
    <row r="51" spans="1:4" x14ac:dyDescent="0.25">
      <c r="A51" s="2" t="str">
        <f>"1.1.2.10.00- IMPOSTOS E CONTRIB.A RECUPERAR"</f>
        <v>1.1.2.10.00- IMPOSTOS E CONTRIB.A RECUPERAR</v>
      </c>
      <c r="B51" s="10">
        <v>1914347.25</v>
      </c>
      <c r="C51" s="10">
        <v>444.94</v>
      </c>
      <c r="D51" s="10">
        <v>1914792.19</v>
      </c>
    </row>
    <row r="52" spans="1:4" x14ac:dyDescent="0.25">
      <c r="A52" s="2" t="str">
        <f>"1.1.2.10.01- IR s/Aplicacao Financeira"</f>
        <v>1.1.2.10.01- IR s/Aplicacao Financeira</v>
      </c>
      <c r="B52" s="10">
        <v>533658.85</v>
      </c>
      <c r="C52" s="10">
        <v>394.8</v>
      </c>
      <c r="D52" s="10">
        <v>534053.65</v>
      </c>
    </row>
    <row r="53" spans="1:4" x14ac:dyDescent="0.25">
      <c r="A53" s="2" t="str">
        <f>"1.1.2.10.08- IRRF a Compensar"</f>
        <v>1.1.2.10.08- IRRF a Compensar</v>
      </c>
      <c r="B53" s="10">
        <v>1454.99</v>
      </c>
      <c r="C53" s="10">
        <v>0</v>
      </c>
      <c r="D53" s="10">
        <v>1454.99</v>
      </c>
    </row>
    <row r="54" spans="1:4" x14ac:dyDescent="0.25">
      <c r="A54" s="2" t="str">
        <f>"1.1.2.10.15- Cofins a Compensar"</f>
        <v>1.1.2.10.15- Cofins a Compensar</v>
      </c>
      <c r="B54" s="10">
        <v>1039251.12</v>
      </c>
      <c r="C54" s="10">
        <v>0.03</v>
      </c>
      <c r="D54" s="10">
        <v>1039251.15</v>
      </c>
    </row>
    <row r="55" spans="1:4" x14ac:dyDescent="0.25">
      <c r="A55" s="2" t="str">
        <f>"1.1.2.10.16- PIS a Compensar"</f>
        <v>1.1.2.10.16- PIS a Compensar</v>
      </c>
      <c r="B55" s="10">
        <v>224393.96</v>
      </c>
      <c r="C55" s="10">
        <v>-0.01</v>
      </c>
      <c r="D55" s="10">
        <v>224393.95</v>
      </c>
    </row>
    <row r="56" spans="1:4" x14ac:dyDescent="0.25">
      <c r="A56" s="2" t="str">
        <f>"1.1.2.10.20- V.M.A PIS a Recuperar"</f>
        <v>1.1.2.10.20- V.M.A PIS a Recuperar</v>
      </c>
      <c r="B56" s="10">
        <v>1412.63</v>
      </c>
      <c r="C56" s="10">
        <v>27.43</v>
      </c>
      <c r="D56" s="10">
        <v>1440.06</v>
      </c>
    </row>
    <row r="57" spans="1:4" x14ac:dyDescent="0.25">
      <c r="A57" s="2" t="str">
        <f>"1.1.2.10.21- V.M.A IRRF a Compensar"</f>
        <v>1.1.2.10.21- V.M.A IRRF a Compensar</v>
      </c>
      <c r="B57" s="10">
        <v>488.02</v>
      </c>
      <c r="C57" s="10">
        <v>6.86</v>
      </c>
      <c r="D57" s="10">
        <v>494.88</v>
      </c>
    </row>
    <row r="58" spans="1:4" x14ac:dyDescent="0.25">
      <c r="A58" s="2" t="str">
        <f>"1.1.2.10.22- V.M.A COFINS a Compensar"</f>
        <v>1.1.2.10.22- V.M.A COFINS a Compensar</v>
      </c>
      <c r="B58" s="10">
        <v>5423.91</v>
      </c>
      <c r="C58" s="10">
        <v>15.83</v>
      </c>
      <c r="D58" s="10">
        <v>5439.74</v>
      </c>
    </row>
    <row r="59" spans="1:4" x14ac:dyDescent="0.25">
      <c r="A59" s="2" t="str">
        <f>"1.1.2.10.25- INSS a recuperar segurados"</f>
        <v>1.1.2.10.25- INSS a recuperar segurados</v>
      </c>
      <c r="B59" s="10">
        <v>108263.77</v>
      </c>
      <c r="C59" s="10">
        <v>0</v>
      </c>
      <c r="D59" s="10">
        <v>108263.77</v>
      </c>
    </row>
    <row r="60" spans="1:4" x14ac:dyDescent="0.25">
      <c r="A60" s="2" t="str">
        <f>"1.1.2.11.00- DESPESAS ANTECIPADAS"</f>
        <v>1.1.2.11.00- DESPESAS ANTECIPADAS</v>
      </c>
      <c r="B60" s="10">
        <v>5810.64</v>
      </c>
      <c r="C60" s="10">
        <v>-1159</v>
      </c>
      <c r="D60" s="10">
        <v>4651.6400000000003</v>
      </c>
    </row>
    <row r="61" spans="1:4" x14ac:dyDescent="0.25">
      <c r="A61" s="2" t="str">
        <f>"1.1.2.11.01- Premios de Seguros a Vencer"</f>
        <v>1.1.2.11.01- Premios de Seguros a Vencer</v>
      </c>
      <c r="B61" s="10">
        <v>5810.64</v>
      </c>
      <c r="C61" s="10">
        <v>-1159</v>
      </c>
      <c r="D61" s="10">
        <v>4651.6400000000003</v>
      </c>
    </row>
    <row r="62" spans="1:4" x14ac:dyDescent="0.25">
      <c r="A62" s="2" t="str">
        <f>"1.1.2.12.00- VALORES VINC.A RECEBER-PAMEH"</f>
        <v>1.1.2.12.00- VALORES VINC.A RECEBER-PAMEH</v>
      </c>
      <c r="B62" s="10">
        <v>735516.55</v>
      </c>
      <c r="C62" s="10">
        <v>90268.08</v>
      </c>
      <c r="D62" s="10">
        <v>825784.63</v>
      </c>
    </row>
    <row r="63" spans="1:4" x14ac:dyDescent="0.25">
      <c r="A63" s="2" t="str">
        <f>"1.1.2.12.01- Valores Vinculados-PAMEH"</f>
        <v>1.1.2.12.01- Valores Vinculados-PAMEH</v>
      </c>
      <c r="B63" s="10">
        <v>735516.55</v>
      </c>
      <c r="C63" s="10">
        <v>90268.08</v>
      </c>
      <c r="D63" s="10">
        <v>825784.63</v>
      </c>
    </row>
    <row r="64" spans="1:4" x14ac:dyDescent="0.25">
      <c r="A64" s="2" t="str">
        <f>"1.1.2.14.00- CONTAS TRANSITORIAS - GRUPO ATIVO"</f>
        <v>1.1.2.14.00- CONTAS TRANSITORIAS - GRUPO ATIVO</v>
      </c>
      <c r="B64" s="10">
        <v>539550.99</v>
      </c>
      <c r="C64" s="10">
        <v>-349454.68</v>
      </c>
      <c r="D64" s="10">
        <v>190096.31</v>
      </c>
    </row>
    <row r="65" spans="1:4" x14ac:dyDescent="0.25">
      <c r="A65" s="2" t="str">
        <f>"1.1.2.14.01- Transitoria de Fornecedores"</f>
        <v>1.1.2.14.01- Transitoria de Fornecedores</v>
      </c>
      <c r="B65" s="10">
        <v>0</v>
      </c>
      <c r="C65" s="10">
        <v>-30243.599999999999</v>
      </c>
      <c r="D65" s="10">
        <v>-30243.599999999999</v>
      </c>
    </row>
    <row r="66" spans="1:4" x14ac:dyDescent="0.25">
      <c r="A66" s="2" t="str">
        <f>"1.1.2.14.02- Transitoria de Alteracao Patrimonial"</f>
        <v>1.1.2.14.02- Transitoria de Alteracao Patrimonial</v>
      </c>
      <c r="B66" s="10">
        <v>0</v>
      </c>
      <c r="C66" s="10">
        <v>7300</v>
      </c>
      <c r="D66" s="10">
        <v>7300</v>
      </c>
    </row>
    <row r="67" spans="1:4" x14ac:dyDescent="0.25">
      <c r="A67" s="2" t="str">
        <f>"1.1.2.14.05- Transitoria Folha de Pagamento"</f>
        <v>1.1.2.14.05- Transitoria Folha de Pagamento</v>
      </c>
      <c r="B67" s="10">
        <v>539550.99</v>
      </c>
      <c r="C67" s="10">
        <v>-326511.08</v>
      </c>
      <c r="D67" s="10">
        <v>213039.91</v>
      </c>
    </row>
    <row r="68" spans="1:4" x14ac:dyDescent="0.25">
      <c r="A68" s="2" t="str">
        <f>"1.1.2.15.00- CARNE ESTACIONAMENTO ROTATIVO"</f>
        <v>1.1.2.15.00- CARNE ESTACIONAMENTO ROTATIVO</v>
      </c>
      <c r="B68" s="10">
        <v>85758.75</v>
      </c>
      <c r="C68" s="10">
        <v>-27561.71</v>
      </c>
      <c r="D68" s="10">
        <v>58197.04</v>
      </c>
    </row>
    <row r="69" spans="1:4" x14ac:dyDescent="0.25">
      <c r="A69" s="2" t="str">
        <f>"1.1.2.15.01- Carne Rotativo"</f>
        <v>1.1.2.15.01- Carne Rotativo</v>
      </c>
      <c r="B69" s="10">
        <v>85758.75</v>
      </c>
      <c r="C69" s="10">
        <v>-27561.71</v>
      </c>
      <c r="D69" s="10">
        <v>58197.04</v>
      </c>
    </row>
    <row r="70" spans="1:4" x14ac:dyDescent="0.25">
      <c r="A70" s="2" t="str">
        <f>"1.2.0.00.00- ATIVO NAO CIRCULANTE"</f>
        <v>1.2.0.00.00- ATIVO NAO CIRCULANTE</v>
      </c>
      <c r="B70" s="10">
        <v>19550019.960000001</v>
      </c>
      <c r="C70" s="10">
        <v>326268.34000000003</v>
      </c>
      <c r="D70" s="10">
        <v>19876288.300000001</v>
      </c>
    </row>
    <row r="71" spans="1:4" x14ac:dyDescent="0.25">
      <c r="A71" s="2" t="str">
        <f>"1.2.1.00.00- REALIZAVEL A LONGO PRAZO"</f>
        <v>1.2.1.00.00- REALIZAVEL A LONGO PRAZO</v>
      </c>
      <c r="B71" s="10">
        <v>17509868.309999999</v>
      </c>
      <c r="C71" s="10">
        <v>333567.62</v>
      </c>
      <c r="D71" s="10">
        <v>17843435.93</v>
      </c>
    </row>
    <row r="72" spans="1:4" x14ac:dyDescent="0.25">
      <c r="A72" s="2" t="str">
        <f>"1.2.1.01.00- CREDITOS E VALORES A RECEBER"</f>
        <v>1.2.1.01.00- CREDITOS E VALORES A RECEBER</v>
      </c>
      <c r="B72" s="10">
        <v>17509868.309999999</v>
      </c>
      <c r="C72" s="10">
        <v>333567.62</v>
      </c>
      <c r="D72" s="10">
        <v>17843435.93</v>
      </c>
    </row>
    <row r="73" spans="1:4" x14ac:dyDescent="0.25">
      <c r="A73" s="2" t="str">
        <f>"1.2.1.01.01- Depositos Judiciais"</f>
        <v>1.2.1.01.01- Depositos Judiciais</v>
      </c>
      <c r="B73" s="10">
        <v>4994413.33</v>
      </c>
      <c r="C73" s="10">
        <v>333567.62</v>
      </c>
      <c r="D73" s="10">
        <v>5327980.95</v>
      </c>
    </row>
    <row r="74" spans="1:4" x14ac:dyDescent="0.25">
      <c r="A74" s="2" t="str">
        <f>"1.2.1.01.03- Depositos Judiciais de Terceiros"</f>
        <v>1.2.1.01.03- Depositos Judiciais de Terceiros</v>
      </c>
      <c r="B74" s="10">
        <v>925087.39</v>
      </c>
      <c r="C74" s="10">
        <v>0</v>
      </c>
      <c r="D74" s="10">
        <v>925087.39</v>
      </c>
    </row>
    <row r="75" spans="1:4" x14ac:dyDescent="0.25">
      <c r="A75" s="2" t="str">
        <f>"1.2.1.01.04- Convenio Prefeitura Betim"</f>
        <v>1.2.1.01.04- Convenio Prefeitura Betim</v>
      </c>
      <c r="B75" s="10">
        <v>891.18</v>
      </c>
      <c r="C75" s="10">
        <v>0</v>
      </c>
      <c r="D75" s="10">
        <v>891.18</v>
      </c>
    </row>
    <row r="76" spans="1:4" x14ac:dyDescent="0.25">
      <c r="A76" s="2" t="str">
        <f>"1.2.1.01.05- Convenio IPSEMG"</f>
        <v>1.2.1.01.05- Convenio IPSEMG</v>
      </c>
      <c r="B76" s="10">
        <v>21163.53</v>
      </c>
      <c r="C76" s="10">
        <v>0</v>
      </c>
      <c r="D76" s="10">
        <v>21163.53</v>
      </c>
    </row>
    <row r="77" spans="1:4" x14ac:dyDescent="0.25">
      <c r="A77" s="2" t="str">
        <f>"1.2.1.01.06- Multas Transporte Coletivo"</f>
        <v>1.2.1.01.06- Multas Transporte Coletivo</v>
      </c>
      <c r="B77" s="10">
        <v>12853680.960000001</v>
      </c>
      <c r="C77" s="10">
        <v>0</v>
      </c>
      <c r="D77" s="10">
        <v>12853680.960000001</v>
      </c>
    </row>
    <row r="78" spans="1:4" x14ac:dyDescent="0.25">
      <c r="A78" s="2" t="str">
        <f>"1.2.1.01.07- (-) Provisao para Perdas"</f>
        <v>1.2.1.01.07- (-) Provisao para Perdas</v>
      </c>
      <c r="B78" s="10">
        <v>-1285368.08</v>
      </c>
      <c r="C78" s="10">
        <v>0</v>
      </c>
      <c r="D78" s="10">
        <v>-1285368.08</v>
      </c>
    </row>
    <row r="79" spans="1:4" x14ac:dyDescent="0.25">
      <c r="A79" s="2" t="str">
        <f>"1.3.1.00.00- INVESTIMENTOS"</f>
        <v>1.3.1.00.00- INVESTIMENTOS</v>
      </c>
      <c r="B79" s="10">
        <v>26070</v>
      </c>
      <c r="C79" s="10">
        <v>0</v>
      </c>
      <c r="D79" s="10">
        <v>26070</v>
      </c>
    </row>
    <row r="80" spans="1:4" x14ac:dyDescent="0.25">
      <c r="A80" s="2" t="str">
        <f>"1.3.1.01.00- OUTROS INVESTIMENTOS"</f>
        <v>1.3.1.01.00- OUTROS INVESTIMENTOS</v>
      </c>
      <c r="B80" s="10">
        <v>26070</v>
      </c>
      <c r="C80" s="10">
        <v>0</v>
      </c>
      <c r="D80" s="10">
        <v>26070</v>
      </c>
    </row>
    <row r="81" spans="1:4" x14ac:dyDescent="0.25">
      <c r="A81" s="2" t="str">
        <f>"1.3.1.01.01- Obras de Arte"</f>
        <v>1.3.1.01.01- Obras de Arte</v>
      </c>
      <c r="B81" s="10">
        <v>25200</v>
      </c>
      <c r="C81" s="10">
        <v>0</v>
      </c>
      <c r="D81" s="10">
        <v>25200</v>
      </c>
    </row>
    <row r="82" spans="1:4" x14ac:dyDescent="0.25">
      <c r="A82" s="2" t="str">
        <f>"1.3.1.01.02- Participações Societárias - PBH ATIVOS"</f>
        <v>1.3.1.01.02- Participações Societárias - PBH ATIVOS</v>
      </c>
      <c r="B82" s="10">
        <v>870</v>
      </c>
      <c r="C82" s="10">
        <v>0</v>
      </c>
      <c r="D82" s="10">
        <v>870</v>
      </c>
    </row>
    <row r="83" spans="1:4" x14ac:dyDescent="0.25">
      <c r="A83" s="2" t="str">
        <f>"1.3.2.00.00- IMOBILIZADO"</f>
        <v>1.3.2.00.00- IMOBILIZADO</v>
      </c>
      <c r="B83" s="10">
        <v>7709693.6900000004</v>
      </c>
      <c r="C83" s="10">
        <v>14721.56</v>
      </c>
      <c r="D83" s="10">
        <v>7724415.25</v>
      </c>
    </row>
    <row r="84" spans="1:4" x14ac:dyDescent="0.25">
      <c r="A84" s="2" t="str">
        <f>"1.3.2.01.01- Maquinas e equipamentos"</f>
        <v>1.3.2.01.01- Maquinas e equipamentos</v>
      </c>
      <c r="B84" s="10">
        <v>241624.95999999999</v>
      </c>
      <c r="C84" s="10">
        <v>0</v>
      </c>
      <c r="D84" s="10">
        <v>241624.95999999999</v>
      </c>
    </row>
    <row r="85" spans="1:4" x14ac:dyDescent="0.25">
      <c r="A85" s="2" t="str">
        <f>"1.3.2.02.01- Ferramentas"</f>
        <v>1.3.2.02.01- Ferramentas</v>
      </c>
      <c r="B85" s="10">
        <v>9104.81</v>
      </c>
      <c r="C85" s="10">
        <v>0</v>
      </c>
      <c r="D85" s="10">
        <v>9104.81</v>
      </c>
    </row>
    <row r="86" spans="1:4" x14ac:dyDescent="0.25">
      <c r="A86" s="2" t="str">
        <f>"1.3.2.03.01- Equipamentos de comunicacao"</f>
        <v>1.3.2.03.01- Equipamentos de comunicacao</v>
      </c>
      <c r="B86" s="10">
        <v>172167.01</v>
      </c>
      <c r="C86" s="10">
        <v>0</v>
      </c>
      <c r="D86" s="10">
        <v>172167.01</v>
      </c>
    </row>
    <row r="87" spans="1:4" x14ac:dyDescent="0.25">
      <c r="A87" s="2" t="str">
        <f>"1.3.2.04.01- Instalacoes"</f>
        <v>1.3.2.04.01- Instalacoes</v>
      </c>
      <c r="B87" s="10">
        <v>85222.9</v>
      </c>
      <c r="C87" s="10">
        <v>0</v>
      </c>
      <c r="D87" s="10">
        <v>85222.9</v>
      </c>
    </row>
    <row r="88" spans="1:4" x14ac:dyDescent="0.25">
      <c r="A88" s="2" t="str">
        <f>"1.3.2.06.01- Moveis e utensilios"</f>
        <v>1.3.2.06.01- Moveis e utensilios</v>
      </c>
      <c r="B88" s="10">
        <v>541731.43999999994</v>
      </c>
      <c r="C88" s="10">
        <v>0</v>
      </c>
      <c r="D88" s="10">
        <v>541731.43999999994</v>
      </c>
    </row>
    <row r="89" spans="1:4" x14ac:dyDescent="0.25">
      <c r="A89" s="2" t="str">
        <f>"1.3.2.08.01- Instalacoes administrativas"</f>
        <v>1.3.2.08.01- Instalacoes administrativas</v>
      </c>
      <c r="B89" s="10">
        <v>99146.34</v>
      </c>
      <c r="C89" s="10">
        <v>0</v>
      </c>
      <c r="D89" s="10">
        <v>99146.34</v>
      </c>
    </row>
    <row r="90" spans="1:4" x14ac:dyDescent="0.25">
      <c r="A90" s="2" t="str">
        <f>"1.3.2.09.01- Aparelhos/equipamentos diversos"</f>
        <v>1.3.2.09.01- Aparelhos/equipamentos diversos</v>
      </c>
      <c r="B90" s="10">
        <v>602533.56999999995</v>
      </c>
      <c r="C90" s="10">
        <v>14721.56</v>
      </c>
      <c r="D90" s="10">
        <v>617255.13</v>
      </c>
    </row>
    <row r="91" spans="1:4" x14ac:dyDescent="0.25">
      <c r="A91" s="2" t="str">
        <f>"1.3.2.10.01- Equip. p/ processamento de dados"</f>
        <v>1.3.2.10.01- Equip. p/ processamento de dados</v>
      </c>
      <c r="B91" s="10">
        <v>1550246.6</v>
      </c>
      <c r="C91" s="10">
        <v>0</v>
      </c>
      <c r="D91" s="10">
        <v>1550246.6</v>
      </c>
    </row>
    <row r="92" spans="1:4" x14ac:dyDescent="0.25">
      <c r="A92" s="2" t="str">
        <f>"1.3.2.12.01- Micros/impressoras e acessorios"</f>
        <v>1.3.2.12.01- Micros/impressoras e acessorios</v>
      </c>
      <c r="B92" s="10">
        <v>2690531.68</v>
      </c>
      <c r="C92" s="10">
        <v>0</v>
      </c>
      <c r="D92" s="10">
        <v>2690531.68</v>
      </c>
    </row>
    <row r="93" spans="1:4" x14ac:dyDescent="0.25">
      <c r="A93" s="2" t="str">
        <f>"1.3.2.13.01- Imobilizacao em imoveis de terceiros"</f>
        <v>1.3.2.13.01- Imobilizacao em imoveis de terceiros</v>
      </c>
      <c r="B93" s="10">
        <v>511539.98</v>
      </c>
      <c r="C93" s="10">
        <v>0</v>
      </c>
      <c r="D93" s="10">
        <v>511539.98</v>
      </c>
    </row>
    <row r="94" spans="1:4" x14ac:dyDescent="0.25">
      <c r="A94" s="2" t="str">
        <f>"1.3.2.14.01- Estacao Diamante"</f>
        <v>1.3.2.14.01- Estacao Diamante</v>
      </c>
      <c r="B94" s="10">
        <v>1162384.46</v>
      </c>
      <c r="C94" s="10">
        <v>0</v>
      </c>
      <c r="D94" s="10">
        <v>1162384.46</v>
      </c>
    </row>
    <row r="95" spans="1:4" x14ac:dyDescent="0.25">
      <c r="A95" s="2" t="str">
        <f>"1.3.2.15.00- IMOBILIZACOES EM ANDAMENTO"</f>
        <v>1.3.2.15.00- IMOBILIZACOES EM ANDAMENTO</v>
      </c>
      <c r="B95" s="10">
        <v>43459.94</v>
      </c>
      <c r="C95" s="10">
        <v>0</v>
      </c>
      <c r="D95" s="10">
        <v>43459.94</v>
      </c>
    </row>
    <row r="96" spans="1:4" x14ac:dyDescent="0.25">
      <c r="A96" s="2" t="str">
        <f>"1.3.2.15.01- Construcoes em Andamento"</f>
        <v>1.3.2.15.01- Construcoes em Andamento</v>
      </c>
      <c r="B96" s="10">
        <v>43459.94</v>
      </c>
      <c r="C96" s="10">
        <v>0</v>
      </c>
      <c r="D96" s="10">
        <v>43459.94</v>
      </c>
    </row>
    <row r="97" spans="1:4" x14ac:dyDescent="0.25">
      <c r="A97" s="2" t="str">
        <f>"1.3.3.00.00- INTANGIVEL"</f>
        <v>1.3.3.00.00- INTANGIVEL</v>
      </c>
      <c r="B97" s="10">
        <v>37558</v>
      </c>
      <c r="C97" s="10">
        <v>0</v>
      </c>
      <c r="D97" s="10">
        <v>37558</v>
      </c>
    </row>
    <row r="98" spans="1:4" x14ac:dyDescent="0.25">
      <c r="A98" s="2" t="str">
        <f>"1.3.3.04.01- Programas e Sistemas"</f>
        <v>1.3.3.04.01- Programas e Sistemas</v>
      </c>
      <c r="B98" s="10">
        <v>37558</v>
      </c>
      <c r="C98" s="10">
        <v>0</v>
      </c>
      <c r="D98" s="10">
        <v>37558</v>
      </c>
    </row>
    <row r="99" spans="1:4" x14ac:dyDescent="0.25">
      <c r="A99" s="2" t="str">
        <f>"1.3.5.00.00- ( - )DEPRECIACAO E AMORTIZACAO"</f>
        <v>1.3.5.00.00- ( - )DEPRECIACAO E AMORTIZACAO</v>
      </c>
      <c r="B99" s="10">
        <v>-5733170.04</v>
      </c>
      <c r="C99" s="10">
        <v>-22020.84</v>
      </c>
      <c r="D99" s="10">
        <v>-5755190.8799999999</v>
      </c>
    </row>
    <row r="100" spans="1:4" x14ac:dyDescent="0.25">
      <c r="A100" s="2" t="str">
        <f>"1.3.5.01.00- ( - ) DEPRECIACAO E AMORTIZACAO"</f>
        <v>1.3.5.01.00- ( - ) DEPRECIACAO E AMORTIZACAO</v>
      </c>
      <c r="B100" s="10">
        <v>-5733170.04</v>
      </c>
      <c r="C100" s="10">
        <v>-22020.84</v>
      </c>
      <c r="D100" s="10">
        <v>-5755190.8799999999</v>
      </c>
    </row>
    <row r="101" spans="1:4" x14ac:dyDescent="0.25">
      <c r="A101" s="2" t="str">
        <f>"1.3.5.01.01- ( - ) Moveis e Utensilios"</f>
        <v>1.3.5.01.01- ( - ) Moveis e Utensilios</v>
      </c>
      <c r="B101" s="10">
        <v>-446716.76</v>
      </c>
      <c r="C101" s="10">
        <v>-2392.3200000000002</v>
      </c>
      <c r="D101" s="10">
        <v>-449109.08</v>
      </c>
    </row>
    <row r="102" spans="1:4" x14ac:dyDescent="0.25">
      <c r="A102" s="2" t="str">
        <f>"1.3.5.01.02- ( - ) Aparelhos/Equipamentos Diversos"</f>
        <v>1.3.5.01.02- ( - ) Aparelhos/Equipamentos Diversos</v>
      </c>
      <c r="B102" s="10">
        <v>-370766.01</v>
      </c>
      <c r="C102" s="10">
        <v>-3828.21</v>
      </c>
      <c r="D102" s="10">
        <v>-374594.22</v>
      </c>
    </row>
    <row r="103" spans="1:4" x14ac:dyDescent="0.25">
      <c r="A103" s="2" t="str">
        <f>"1.3.5.01.03- ( - ) Instalacoes Administrativas"</f>
        <v>1.3.5.01.03- ( - ) Instalacoes Administrativas</v>
      </c>
      <c r="B103" s="10">
        <v>-99029.74</v>
      </c>
      <c r="C103" s="10">
        <v>-3.31</v>
      </c>
      <c r="D103" s="10">
        <v>-99033.05</v>
      </c>
    </row>
    <row r="104" spans="1:4" x14ac:dyDescent="0.25">
      <c r="A104" s="2" t="str">
        <f>"1.3.5.01.05- ( - ) Impressoras e Micros"</f>
        <v>1.3.5.01.05- ( - ) Impressoras e Micros</v>
      </c>
      <c r="B104" s="10">
        <v>-3270731.47</v>
      </c>
      <c r="C104" s="10">
        <v>-7789.76</v>
      </c>
      <c r="D104" s="10">
        <v>-3278521.23</v>
      </c>
    </row>
    <row r="105" spans="1:4" x14ac:dyDescent="0.25">
      <c r="A105" s="2" t="str">
        <f>"1.3.5.01.06- ( - ) Maquinas e Equipamentos"</f>
        <v>1.3.5.01.06- ( - ) Maquinas e Equipamentos</v>
      </c>
      <c r="B105" s="10">
        <v>-158925.5</v>
      </c>
      <c r="C105" s="10">
        <v>-1472.68</v>
      </c>
      <c r="D105" s="10">
        <v>-160398.18</v>
      </c>
    </row>
    <row r="106" spans="1:4" x14ac:dyDescent="0.25">
      <c r="A106" s="2" t="str">
        <f>"1.3.5.01.07- ( - ) Equipamentos de Comunicacao"</f>
        <v>1.3.5.01.07- ( - ) Equipamentos de Comunicacao</v>
      </c>
      <c r="B106" s="10">
        <v>-172017.13</v>
      </c>
      <c r="C106" s="10">
        <v>-20.04</v>
      </c>
      <c r="D106" s="10">
        <v>-172037.17</v>
      </c>
    </row>
    <row r="107" spans="1:4" x14ac:dyDescent="0.25">
      <c r="A107" s="2" t="str">
        <f>"1.3.5.01.08- ( - ) Instalacoes Operacionais"</f>
        <v>1.3.5.01.08- ( - ) Instalacoes Operacionais</v>
      </c>
      <c r="B107" s="10">
        <v>-66960.42</v>
      </c>
      <c r="C107" s="10">
        <v>-265.42</v>
      </c>
      <c r="D107" s="10">
        <v>-67225.84</v>
      </c>
    </row>
    <row r="108" spans="1:4" x14ac:dyDescent="0.25">
      <c r="A108" s="2" t="str">
        <f>"1.3.5.01.09- ( - ) Programas (Softwares)"</f>
        <v>1.3.5.01.09- ( - ) Programas (Softwares)</v>
      </c>
      <c r="B108" s="10">
        <v>-29967.19</v>
      </c>
      <c r="C108" s="10">
        <v>-612.5</v>
      </c>
      <c r="D108" s="10">
        <v>-30579.69</v>
      </c>
    </row>
    <row r="109" spans="1:4" x14ac:dyDescent="0.25">
      <c r="A109" s="2" t="str">
        <f>"1.3.5.01.14- ( - ) Ferramentas"</f>
        <v>1.3.5.01.14- ( - ) Ferramentas</v>
      </c>
      <c r="B109" s="10">
        <v>-7259.83</v>
      </c>
      <c r="C109" s="10">
        <v>-56.85</v>
      </c>
      <c r="D109" s="10">
        <v>-7316.68</v>
      </c>
    </row>
    <row r="110" spans="1:4" x14ac:dyDescent="0.25">
      <c r="A110" s="2" t="str">
        <f>"1.3.5.01.15- ( - ) Imobilizacoes em Imov. Terceiros"</f>
        <v>1.3.5.01.15- ( - ) Imobilizacoes em Imov. Terceiros</v>
      </c>
      <c r="B110" s="10">
        <v>-1110795.99</v>
      </c>
      <c r="C110" s="10">
        <v>-5579.75</v>
      </c>
      <c r="D110" s="10">
        <v>-1116375.74</v>
      </c>
    </row>
    <row r="111" spans="1:4" x14ac:dyDescent="0.25">
      <c r="A111" s="2" t="str">
        <f>""</f>
        <v/>
      </c>
      <c r="B111" s="3" t="str">
        <f>""</f>
        <v/>
      </c>
      <c r="C111" s="3" t="str">
        <f>""</f>
        <v/>
      </c>
      <c r="D111" s="3" t="str">
        <f>""</f>
        <v/>
      </c>
    </row>
    <row r="112" spans="1:4" x14ac:dyDescent="0.25">
      <c r="A112" s="2" t="str">
        <f>"PASSIVO"</f>
        <v>PASSIVO</v>
      </c>
      <c r="B112" s="3" t="str">
        <f>""</f>
        <v/>
      </c>
      <c r="C112" s="3" t="str">
        <f>""</f>
        <v/>
      </c>
      <c r="D112" s="3" t="str">
        <f>""</f>
        <v/>
      </c>
    </row>
    <row r="113" spans="1:4" x14ac:dyDescent="0.25">
      <c r="A113" s="2" t="str">
        <f>"2.0.0.00.00- PASSIVO"</f>
        <v>2.0.0.00.00- PASSIVO</v>
      </c>
      <c r="B113" s="10">
        <v>35705031.439999998</v>
      </c>
      <c r="C113" s="10">
        <v>2343225.69</v>
      </c>
      <c r="D113" s="10">
        <v>38048257.130000003</v>
      </c>
    </row>
    <row r="114" spans="1:4" x14ac:dyDescent="0.25">
      <c r="A114" s="2" t="str">
        <f>"2.1.0.00.00- PASSIVO CIRCULANTE"</f>
        <v>2.1.0.00.00- PASSIVO CIRCULANTE</v>
      </c>
      <c r="B114" s="10">
        <v>64449960.539999999</v>
      </c>
      <c r="C114" s="10">
        <v>2316314.1800000002</v>
      </c>
      <c r="D114" s="10">
        <v>66766274.719999999</v>
      </c>
    </row>
    <row r="115" spans="1:4" x14ac:dyDescent="0.25">
      <c r="A115" s="2" t="str">
        <f>"2.1.1.00.00- OBRIGACOES COM PESSOAL"</f>
        <v>2.1.1.00.00- OBRIGACOES COM PESSOAL</v>
      </c>
      <c r="B115" s="10">
        <v>15642281.050000001</v>
      </c>
      <c r="C115" s="10">
        <v>904500.87</v>
      </c>
      <c r="D115" s="10">
        <v>16546781.92</v>
      </c>
    </row>
    <row r="116" spans="1:4" x14ac:dyDescent="0.25">
      <c r="A116" s="2" t="str">
        <f>"2.1.1.01.00- SALARIOS A PAGAR"</f>
        <v>2.1.1.01.00- SALARIOS A PAGAR</v>
      </c>
      <c r="B116" s="10">
        <v>15642281.050000001</v>
      </c>
      <c r="C116" s="10">
        <v>904500.87</v>
      </c>
      <c r="D116" s="10">
        <v>16546781.92</v>
      </c>
    </row>
    <row r="117" spans="1:4" x14ac:dyDescent="0.25">
      <c r="A117" s="2" t="str">
        <f>"2.1.1.01.01- Salarios a Pagar"</f>
        <v>2.1.1.01.01- Salarios a Pagar</v>
      </c>
      <c r="B117" s="10">
        <v>4622490.78</v>
      </c>
      <c r="C117" s="10">
        <v>913315.82</v>
      </c>
      <c r="D117" s="10">
        <v>5535806.5999999996</v>
      </c>
    </row>
    <row r="118" spans="1:4" x14ac:dyDescent="0.25">
      <c r="A118" s="2" t="str">
        <f>"2.1.1.01.02- Provisão 13º Salário"</f>
        <v>2.1.1.01.02- Provisão 13º Salário</v>
      </c>
      <c r="B118" s="10">
        <v>449236.6</v>
      </c>
      <c r="C118" s="10">
        <v>513868.47</v>
      </c>
      <c r="D118" s="10">
        <v>963105.07</v>
      </c>
    </row>
    <row r="119" spans="1:4" x14ac:dyDescent="0.25">
      <c r="A119" s="2" t="str">
        <f>"2.1.1.01.03- Ferias a pagar"</f>
        <v>2.1.1.01.03- Ferias a pagar</v>
      </c>
      <c r="B119" s="10">
        <v>3672.18</v>
      </c>
      <c r="C119" s="10">
        <v>332828.31</v>
      </c>
      <c r="D119" s="10">
        <v>336500.49</v>
      </c>
    </row>
    <row r="120" spans="1:4" x14ac:dyDescent="0.25">
      <c r="A120" s="2" t="str">
        <f>"2.1.1.01.05- Rescisoes a Pagar"</f>
        <v>2.1.1.01.05- Rescisoes a Pagar</v>
      </c>
      <c r="B120" s="10">
        <v>717.54</v>
      </c>
      <c r="C120" s="10">
        <v>1946.62</v>
      </c>
      <c r="D120" s="10">
        <v>2664.16</v>
      </c>
    </row>
    <row r="121" spans="1:4" x14ac:dyDescent="0.25">
      <c r="A121" s="2" t="str">
        <f>"2.1.1.01.09- Provisao de Ferias"</f>
        <v>2.1.1.01.09- Provisao de Ferias</v>
      </c>
      <c r="B121" s="10">
        <v>6619335.0700000003</v>
      </c>
      <c r="C121" s="10">
        <v>98175.88</v>
      </c>
      <c r="D121" s="10">
        <v>6717510.9500000002</v>
      </c>
    </row>
    <row r="122" spans="1:4" x14ac:dyDescent="0.25">
      <c r="A122" s="2" t="str">
        <f>"2.1.1.01.11- Indenizações trabalhistas - ACT"</f>
        <v>2.1.1.01.11- Indenizações trabalhistas - ACT</v>
      </c>
      <c r="B122" s="10">
        <v>3946828.88</v>
      </c>
      <c r="C122" s="10">
        <v>-955634.23</v>
      </c>
      <c r="D122" s="10">
        <v>2991194.65</v>
      </c>
    </row>
    <row r="123" spans="1:4" x14ac:dyDescent="0.25">
      <c r="A123" s="2" t="str">
        <f>"2.1.2.00.00- OBRIGACOES SOCIAIS A CURTO PRAZO"</f>
        <v>2.1.2.00.00- OBRIGACOES SOCIAIS A CURTO PRAZO</v>
      </c>
      <c r="B123" s="10">
        <v>6061635.4500000002</v>
      </c>
      <c r="C123" s="10">
        <v>402336.63</v>
      </c>
      <c r="D123" s="10">
        <v>6463972.0800000001</v>
      </c>
    </row>
    <row r="124" spans="1:4" x14ac:dyDescent="0.25">
      <c r="A124" s="2" t="str">
        <f>"2.1.2.01.00- OBRIGACOES SOCIAIS A RECOLHER"</f>
        <v>2.1.2.01.00- OBRIGACOES SOCIAIS A RECOLHER</v>
      </c>
      <c r="B124" s="10">
        <v>6061635.4500000002</v>
      </c>
      <c r="C124" s="10">
        <v>402336.63</v>
      </c>
      <c r="D124" s="10">
        <v>6463972.0800000001</v>
      </c>
    </row>
    <row r="125" spans="1:4" x14ac:dyDescent="0.25">
      <c r="A125" s="2" t="str">
        <f>"2.1.2.01.01- INSS a recolher s/Folha Pagto"</f>
        <v>2.1.2.01.01- INSS a recolher s/Folha Pagto</v>
      </c>
      <c r="B125" s="10">
        <v>2253771.73</v>
      </c>
      <c r="C125" s="10">
        <v>241911.46</v>
      </c>
      <c r="D125" s="10">
        <v>2495683.19</v>
      </c>
    </row>
    <row r="126" spans="1:4" x14ac:dyDescent="0.25">
      <c r="A126" s="2" t="str">
        <f>"2.1.2.01.02- FGTS a recolher s/Folha Pagto"</f>
        <v>2.1.2.01.02- FGTS a recolher s/Folha Pagto</v>
      </c>
      <c r="B126" s="10">
        <v>549432.06999999995</v>
      </c>
      <c r="C126" s="10">
        <v>23549.32</v>
      </c>
      <c r="D126" s="10">
        <v>572981.39</v>
      </c>
    </row>
    <row r="127" spans="1:4" x14ac:dyDescent="0.25">
      <c r="A127" s="2" t="str">
        <f>"2.1.2.01.05- Contribuicao Sindical"</f>
        <v>2.1.2.01.05- Contribuicao Sindical</v>
      </c>
      <c r="B127" s="10">
        <v>8070.79</v>
      </c>
      <c r="C127" s="10">
        <v>5.66</v>
      </c>
      <c r="D127" s="10">
        <v>8076.45</v>
      </c>
    </row>
    <row r="128" spans="1:4" x14ac:dyDescent="0.25">
      <c r="A128" s="2" t="str">
        <f>"2.1.2.01.06- INSS s/Provisao de Ferias"</f>
        <v>2.1.2.01.06- INSS s/Provisao de Ferias</v>
      </c>
      <c r="B128" s="10">
        <v>1905840.79</v>
      </c>
      <c r="C128" s="10">
        <v>31019.9</v>
      </c>
      <c r="D128" s="10">
        <v>1936860.69</v>
      </c>
    </row>
    <row r="129" spans="1:4" x14ac:dyDescent="0.25">
      <c r="A129" s="2" t="str">
        <f>"2.1.2.01.07- AEB - Assoc. Empreg. BHTRANS"</f>
        <v>2.1.2.01.07- AEB - Assoc. Empreg. BHTRANS</v>
      </c>
      <c r="B129" s="10">
        <v>4828.79</v>
      </c>
      <c r="C129" s="10">
        <v>-30</v>
      </c>
      <c r="D129" s="10">
        <v>4798.79</v>
      </c>
    </row>
    <row r="130" spans="1:4" x14ac:dyDescent="0.25">
      <c r="A130" s="2" t="str">
        <f>"2.1.2.01.09- INSS a Recolher s/Autonomos"</f>
        <v>2.1.2.01.09- INSS a Recolher s/Autonomos</v>
      </c>
      <c r="B130" s="10">
        <v>1523.21</v>
      </c>
      <c r="C130" s="10">
        <v>-221.37</v>
      </c>
      <c r="D130" s="10">
        <v>1301.8399999999999</v>
      </c>
    </row>
    <row r="131" spans="1:4" x14ac:dyDescent="0.25">
      <c r="A131" s="2" t="str">
        <f>"2.1.2.01.10- INSS s/Provisao de 13.Salario"</f>
        <v>2.1.2.01.10- INSS s/Provisao de 13.Salario</v>
      </c>
      <c r="B131" s="10">
        <v>129913.21</v>
      </c>
      <c r="C131" s="10">
        <v>149353.94</v>
      </c>
      <c r="D131" s="10">
        <v>279267.15000000002</v>
      </c>
    </row>
    <row r="132" spans="1:4" x14ac:dyDescent="0.25">
      <c r="A132" s="2" t="str">
        <f>"2.1.2.01.11- FGTS s/Provisao de 13.Salario"</f>
        <v>2.1.2.01.11- FGTS s/Provisao de 13.Salario</v>
      </c>
      <c r="B132" s="10">
        <v>30899.439999999999</v>
      </c>
      <c r="C132" s="10">
        <v>31046.560000000001</v>
      </c>
      <c r="D132" s="10">
        <v>61946</v>
      </c>
    </row>
    <row r="133" spans="1:4" x14ac:dyDescent="0.25">
      <c r="A133" s="2" t="str">
        <f>"2.1.2.01.12- FGTS s/Provisao de Ferias"</f>
        <v>2.1.2.01.12- FGTS s/Provisao de Ferias</v>
      </c>
      <c r="B133" s="10">
        <v>527525.32999999996</v>
      </c>
      <c r="C133" s="10">
        <v>7534.15</v>
      </c>
      <c r="D133" s="10">
        <v>535059.48</v>
      </c>
    </row>
    <row r="134" spans="1:4" x14ac:dyDescent="0.25">
      <c r="A134" s="2" t="str">
        <f>"2.1.2.01.13- Contribuicao ao PAMEH"</f>
        <v>2.1.2.01.13- Contribuicao ao PAMEH</v>
      </c>
      <c r="B134" s="10">
        <v>455610.71</v>
      </c>
      <c r="C134" s="10">
        <v>89026.29</v>
      </c>
      <c r="D134" s="10">
        <v>544637</v>
      </c>
    </row>
    <row r="135" spans="1:4" x14ac:dyDescent="0.25">
      <c r="A135" s="2" t="str">
        <f>"2.1.2.01.15- Crediserv-BH"</f>
        <v>2.1.2.01.15- Crediserv-BH</v>
      </c>
      <c r="B135" s="10">
        <v>20920.919999999998</v>
      </c>
      <c r="C135" s="10">
        <v>535.54</v>
      </c>
      <c r="D135" s="10">
        <v>21456.46</v>
      </c>
    </row>
    <row r="136" spans="1:4" x14ac:dyDescent="0.25">
      <c r="A136" s="2" t="str">
        <f>"2.1.2.01.16- INSS Fonte a Recolher - PJ"</f>
        <v>2.1.2.01.16- INSS Fonte a Recolher - PJ</v>
      </c>
      <c r="B136" s="10">
        <v>172006.74</v>
      </c>
      <c r="C136" s="10">
        <v>-171264.8</v>
      </c>
      <c r="D136" s="10">
        <v>741.94</v>
      </c>
    </row>
    <row r="137" spans="1:4" x14ac:dyDescent="0.25">
      <c r="A137" s="2" t="str">
        <f>"2.1.2.01.18- INSS Fonte a Recolher - P F"</f>
        <v>2.1.2.01.18- INSS Fonte a Recolher - P F</v>
      </c>
      <c r="B137" s="10">
        <v>761.72</v>
      </c>
      <c r="C137" s="10">
        <v>-120.02</v>
      </c>
      <c r="D137" s="10">
        <v>641.70000000000005</v>
      </c>
    </row>
    <row r="138" spans="1:4" x14ac:dyDescent="0.25">
      <c r="A138" s="2" t="str">
        <f>"2.1.2.01.19- ASFIM - PBH"</f>
        <v>2.1.2.01.19- ASFIM - PBH</v>
      </c>
      <c r="B138" s="10">
        <v>530</v>
      </c>
      <c r="C138" s="10">
        <v>-10</v>
      </c>
      <c r="D138" s="10">
        <v>520</v>
      </c>
    </row>
    <row r="139" spans="1:4" x14ac:dyDescent="0.25">
      <c r="A139" s="2" t="str">
        <f>"2.1.3.00.00- OBRIGACOES FISCAIS A CURTO PRAZO"</f>
        <v>2.1.3.00.00- OBRIGACOES FISCAIS A CURTO PRAZO</v>
      </c>
      <c r="B139" s="10">
        <v>1698026.82</v>
      </c>
      <c r="C139" s="10">
        <v>-173915.9</v>
      </c>
      <c r="D139" s="10">
        <v>1524110.92</v>
      </c>
    </row>
    <row r="140" spans="1:4" x14ac:dyDescent="0.25">
      <c r="A140" s="2" t="str">
        <f>"2.1.3.01.00- IMPOSTOS E TAXAS A RECOLHER"</f>
        <v>2.1.3.01.00- IMPOSTOS E TAXAS A RECOLHER</v>
      </c>
      <c r="B140" s="10">
        <v>1698026.82</v>
      </c>
      <c r="C140" s="10">
        <v>-173915.9</v>
      </c>
      <c r="D140" s="10">
        <v>1524110.92</v>
      </c>
    </row>
    <row r="141" spans="1:4" x14ac:dyDescent="0.25">
      <c r="A141" s="2" t="str">
        <f>"2.1.3.01.01- IRRF Fonte Folha Pagto"</f>
        <v>2.1.3.01.01- IRRF Fonte Folha Pagto</v>
      </c>
      <c r="B141" s="10">
        <v>714352.62</v>
      </c>
      <c r="C141" s="10">
        <v>-137938.59</v>
      </c>
      <c r="D141" s="10">
        <v>576414.03</v>
      </c>
    </row>
    <row r="142" spans="1:4" x14ac:dyDescent="0.25">
      <c r="A142" s="2" t="str">
        <f>"2.1.3.01.03- IRRF Fonte - Pessoa  Juridica e Física"</f>
        <v>2.1.3.01.03- IRRF Fonte - Pessoa  Juridica e Física</v>
      </c>
      <c r="B142" s="10">
        <v>16841.810000000001</v>
      </c>
      <c r="C142" s="10">
        <v>-15062.74</v>
      </c>
      <c r="D142" s="10">
        <v>1779.07</v>
      </c>
    </row>
    <row r="143" spans="1:4" x14ac:dyDescent="0.25">
      <c r="A143" s="2" t="str">
        <f>"2.1.3.01.04- ISS Retido Fonte PF"</f>
        <v>2.1.3.01.04- ISS Retido Fonte PF</v>
      </c>
      <c r="B143" s="10">
        <v>0</v>
      </c>
      <c r="C143" s="10">
        <v>67.5</v>
      </c>
      <c r="D143" s="10">
        <v>67.5</v>
      </c>
    </row>
    <row r="144" spans="1:4" x14ac:dyDescent="0.25">
      <c r="A144" s="2" t="str">
        <f>"2.1.3.01.05- ISS S/ Faturamento"</f>
        <v>2.1.3.01.05- ISS S/ Faturamento</v>
      </c>
      <c r="B144" s="10">
        <v>2057.65</v>
      </c>
      <c r="C144" s="10">
        <v>52.25</v>
      </c>
      <c r="D144" s="10">
        <v>2109.9</v>
      </c>
    </row>
    <row r="145" spans="1:4" x14ac:dyDescent="0.25">
      <c r="A145" s="2" t="str">
        <f>"2.1.3.01.07- COFINS a Recolher"</f>
        <v>2.1.3.01.07- COFINS a Recolher</v>
      </c>
      <c r="B145" s="10">
        <v>716564.5</v>
      </c>
      <c r="C145" s="10">
        <v>40602.25</v>
      </c>
      <c r="D145" s="10">
        <v>757166.75</v>
      </c>
    </row>
    <row r="146" spans="1:4" x14ac:dyDescent="0.25">
      <c r="A146" s="2" t="str">
        <f>"2.1.3.01.08- PIS a Recolher"</f>
        <v>2.1.3.01.08- PIS a Recolher</v>
      </c>
      <c r="B146" s="10">
        <v>155457.75</v>
      </c>
      <c r="C146" s="10">
        <v>8821.2999999999993</v>
      </c>
      <c r="D146" s="10">
        <v>164279.04999999999</v>
      </c>
    </row>
    <row r="147" spans="1:4" x14ac:dyDescent="0.25">
      <c r="A147" s="2" t="str">
        <f>"2.1.3.01.09- ISS Fonte a Recolher P.Juridica"</f>
        <v>2.1.3.01.09- ISS Fonte a Recolher P.Juridica</v>
      </c>
      <c r="B147" s="10">
        <v>4999.1400000000003</v>
      </c>
      <c r="C147" s="10">
        <v>471.58</v>
      </c>
      <c r="D147" s="10">
        <v>5470.72</v>
      </c>
    </row>
    <row r="148" spans="1:4" x14ac:dyDescent="0.25">
      <c r="A148" s="2" t="str">
        <f>"2.1.3.01.12- CSLL-COFINS-PIS - FONTE"</f>
        <v>2.1.3.01.12- CSLL-COFINS-PIS - FONTE</v>
      </c>
      <c r="B148" s="10">
        <v>87753.35</v>
      </c>
      <c r="C148" s="10">
        <v>-70929.45</v>
      </c>
      <c r="D148" s="10">
        <v>16823.900000000001</v>
      </c>
    </row>
    <row r="149" spans="1:4" x14ac:dyDescent="0.25">
      <c r="A149" s="2" t="str">
        <f>"2.1.4.00.00- OUTRAS OBRIGACOES A CURTO PRAZO"</f>
        <v>2.1.4.00.00- OUTRAS OBRIGACOES A CURTO PRAZO</v>
      </c>
      <c r="B149" s="10">
        <v>41004381.659999996</v>
      </c>
      <c r="C149" s="10">
        <v>1183370.5900000001</v>
      </c>
      <c r="D149" s="10">
        <v>42187752.25</v>
      </c>
    </row>
    <row r="150" spans="1:4" x14ac:dyDescent="0.25">
      <c r="A150" s="2" t="str">
        <f>"2.1.4.01.00- FORNECEDORES"</f>
        <v>2.1.4.01.00- FORNECEDORES</v>
      </c>
      <c r="B150" s="10">
        <v>3078090.18</v>
      </c>
      <c r="C150" s="10">
        <v>-1161642.51</v>
      </c>
      <c r="D150" s="10">
        <v>1916447.67</v>
      </c>
    </row>
    <row r="151" spans="1:4" x14ac:dyDescent="0.25">
      <c r="A151" s="2" t="str">
        <f>"2.1.4.01.99- Fornecedores"</f>
        <v>2.1.4.01.99- Fornecedores</v>
      </c>
      <c r="B151" s="10">
        <v>3078090.18</v>
      </c>
      <c r="C151" s="10">
        <v>-1161642.51</v>
      </c>
      <c r="D151" s="10">
        <v>1916447.67</v>
      </c>
    </row>
    <row r="152" spans="1:4" x14ac:dyDescent="0.25">
      <c r="A152" s="2" t="str">
        <f>"2.1.4.02.00- CONTAS A PAGAR"</f>
        <v>2.1.4.02.00- CONTAS A PAGAR</v>
      </c>
      <c r="B152" s="10">
        <v>334186.59999999998</v>
      </c>
      <c r="C152" s="10">
        <v>103387.7</v>
      </c>
      <c r="D152" s="10">
        <v>437574.3</v>
      </c>
    </row>
    <row r="153" spans="1:4" x14ac:dyDescent="0.25">
      <c r="A153" s="2" t="str">
        <f>"2.1.4.02.01- Emprestimo Consignado - Bradesco"</f>
        <v>2.1.4.02.01- Emprestimo Consignado - Bradesco</v>
      </c>
      <c r="B153" s="10">
        <v>116372.46</v>
      </c>
      <c r="C153" s="10">
        <v>4072.44</v>
      </c>
      <c r="D153" s="10">
        <v>120444.9</v>
      </c>
    </row>
    <row r="154" spans="1:4" x14ac:dyDescent="0.25">
      <c r="A154" s="2" t="str">
        <f>"2.1.4.02.03- Emprestimo Consignado - CEF"</f>
        <v>2.1.4.02.03- Emprestimo Consignado - CEF</v>
      </c>
      <c r="B154" s="10">
        <v>30082.02</v>
      </c>
      <c r="C154" s="10">
        <v>-2577.08</v>
      </c>
      <c r="D154" s="10">
        <v>27504.94</v>
      </c>
    </row>
    <row r="155" spans="1:4" x14ac:dyDescent="0.25">
      <c r="A155" s="2" t="str">
        <f>"2.1.4.02.04- Emprestimo Consignado - B.Brasil"</f>
        <v>2.1.4.02.04- Emprestimo Consignado - B.Brasil</v>
      </c>
      <c r="B155" s="10">
        <v>52826.96</v>
      </c>
      <c r="C155" s="10">
        <v>57.97</v>
      </c>
      <c r="D155" s="10">
        <v>52884.93</v>
      </c>
    </row>
    <row r="156" spans="1:4" x14ac:dyDescent="0.25">
      <c r="A156" s="2" t="str">
        <f>"2.1.4.02.05- Emprestimo Consignado-Banco Alfa"</f>
        <v>2.1.4.02.05- Emprestimo Consignado-Banco Alfa</v>
      </c>
      <c r="B156" s="10">
        <v>67107.02</v>
      </c>
      <c r="C156" s="10">
        <v>-4841.75</v>
      </c>
      <c r="D156" s="10">
        <v>62265.27</v>
      </c>
    </row>
    <row r="157" spans="1:4" x14ac:dyDescent="0.25">
      <c r="A157" s="2" t="str">
        <f>"2.1.4.02.07- Emprestimo Consignado - B. Safra"</f>
        <v>2.1.4.02.07- Emprestimo Consignado - B. Safra</v>
      </c>
      <c r="B157" s="10">
        <v>18208.939999999999</v>
      </c>
      <c r="C157" s="10">
        <v>-3153.72</v>
      </c>
      <c r="D157" s="10">
        <v>15055.22</v>
      </c>
    </row>
    <row r="158" spans="1:4" x14ac:dyDescent="0.25">
      <c r="A158" s="2" t="str">
        <f>"2.1.4.02.08- Emprestimo Consignado - BMG"</f>
        <v>2.1.4.02.08- Emprestimo Consignado - BMG</v>
      </c>
      <c r="B158" s="10">
        <v>141.55000000000001</v>
      </c>
      <c r="C158" s="10">
        <v>-141.55000000000001</v>
      </c>
      <c r="D158" s="10">
        <v>0</v>
      </c>
    </row>
    <row r="159" spans="1:4" x14ac:dyDescent="0.25">
      <c r="A159" s="2" t="str">
        <f>"2.1.4.02.09- Emprestimo Consignado - BMC"</f>
        <v>2.1.4.02.09- Emprestimo Consignado - BMC</v>
      </c>
      <c r="B159" s="10">
        <v>307.8</v>
      </c>
      <c r="C159" s="10">
        <v>0</v>
      </c>
      <c r="D159" s="10">
        <v>307.8</v>
      </c>
    </row>
    <row r="160" spans="1:4" x14ac:dyDescent="0.25">
      <c r="A160" s="2" t="str">
        <f>"2.1.4.02.10- Cartão - BMG Card"</f>
        <v>2.1.4.02.10- Cartão - BMG Card</v>
      </c>
      <c r="B160" s="10">
        <v>8943.7099999999991</v>
      </c>
      <c r="C160" s="10">
        <v>130.58000000000001</v>
      </c>
      <c r="D160" s="10">
        <v>9074.2900000000009</v>
      </c>
    </row>
    <row r="161" spans="1:4" x14ac:dyDescent="0.25">
      <c r="A161" s="2" t="str">
        <f>"2.1.4.02.12- Custas judiciais"</f>
        <v>2.1.4.02.12- Custas judiciais</v>
      </c>
      <c r="B161" s="10">
        <v>2134</v>
      </c>
      <c r="C161" s="10">
        <v>441.21</v>
      </c>
      <c r="D161" s="10">
        <v>2575.21</v>
      </c>
    </row>
    <row r="162" spans="1:4" x14ac:dyDescent="0.25">
      <c r="A162" s="2" t="str">
        <f>"2.1.4.02.99- Contas a Pagar"</f>
        <v>2.1.4.02.99- Contas a Pagar</v>
      </c>
      <c r="B162" s="10">
        <v>38062.14</v>
      </c>
      <c r="C162" s="10">
        <v>109399.6</v>
      </c>
      <c r="D162" s="10">
        <v>147461.74</v>
      </c>
    </row>
    <row r="163" spans="1:4" x14ac:dyDescent="0.25">
      <c r="A163" s="2" t="str">
        <f>"2.1.4.03.00- CREDORES DIVERSOS"</f>
        <v>2.1.4.03.00- CREDORES DIVERSOS</v>
      </c>
      <c r="B163" s="10">
        <v>36807171.049999997</v>
      </c>
      <c r="C163" s="10">
        <v>2241625.4</v>
      </c>
      <c r="D163" s="10">
        <v>39048796.450000003</v>
      </c>
    </row>
    <row r="164" spans="1:4" x14ac:dyDescent="0.25">
      <c r="A164" s="2" t="str">
        <f>"2.1.4.03.07- Adiantamento Acionista - Municipio BH"</f>
        <v>2.1.4.03.07- Adiantamento Acionista - Municipio BH</v>
      </c>
      <c r="B164" s="10">
        <v>35805011.770000003</v>
      </c>
      <c r="C164" s="10">
        <v>2229996.16</v>
      </c>
      <c r="D164" s="10">
        <v>38035007.93</v>
      </c>
    </row>
    <row r="165" spans="1:4" x14ac:dyDescent="0.25">
      <c r="A165" s="2" t="str">
        <f>"2.1.4.03.17- Adiantamento de Clientes"</f>
        <v>2.1.4.03.17- Adiantamento de Clientes</v>
      </c>
      <c r="B165" s="10">
        <v>1002159.28</v>
      </c>
      <c r="C165" s="10">
        <v>11629.24</v>
      </c>
      <c r="D165" s="10">
        <v>1013788.52</v>
      </c>
    </row>
    <row r="166" spans="1:4" x14ac:dyDescent="0.25">
      <c r="A166" s="2" t="str">
        <f>"2.1.4.04.00- CAUCAO DE TERCEIROS/LEILAO"</f>
        <v>2.1.4.04.00- CAUCAO DE TERCEIROS/LEILAO</v>
      </c>
      <c r="B166" s="10">
        <v>784933.83</v>
      </c>
      <c r="C166" s="10">
        <v>0</v>
      </c>
      <c r="D166" s="10">
        <v>784933.83</v>
      </c>
    </row>
    <row r="167" spans="1:4" x14ac:dyDescent="0.25">
      <c r="A167" s="2" t="str">
        <f>"2.1.4.04.98- Leilões"</f>
        <v>2.1.4.04.98- Leilões</v>
      </c>
      <c r="B167" s="10">
        <v>464970.44</v>
      </c>
      <c r="C167" s="10">
        <v>0</v>
      </c>
      <c r="D167" s="10">
        <v>464970.44</v>
      </c>
    </row>
    <row r="168" spans="1:4" x14ac:dyDescent="0.25">
      <c r="A168" s="2" t="str">
        <f>"2.1.4.04.99- Caucao de Terceiros"</f>
        <v>2.1.4.04.99- Caucao de Terceiros</v>
      </c>
      <c r="B168" s="10">
        <v>319963.39</v>
      </c>
      <c r="C168" s="10">
        <v>0</v>
      </c>
      <c r="D168" s="10">
        <v>319963.39</v>
      </c>
    </row>
    <row r="169" spans="1:4" x14ac:dyDescent="0.25">
      <c r="A169" s="2" t="str">
        <f>"2.1.6.00.00- OBRIGACOES VINC. A PAGAR-PAMEH"</f>
        <v>2.1.6.00.00- OBRIGACOES VINC. A PAGAR-PAMEH</v>
      </c>
      <c r="B169" s="10">
        <v>43635.56</v>
      </c>
      <c r="C169" s="10">
        <v>21.99</v>
      </c>
      <c r="D169" s="10">
        <v>43657.55</v>
      </c>
    </row>
    <row r="170" spans="1:4" x14ac:dyDescent="0.25">
      <c r="A170" s="2" t="str">
        <f>"2.1.6.01.00- OBRIGACOES VINC. -PAMEH"</f>
        <v>2.1.6.01.00- OBRIGACOES VINC. -PAMEH</v>
      </c>
      <c r="B170" s="10">
        <v>43635.56</v>
      </c>
      <c r="C170" s="10">
        <v>21.99</v>
      </c>
      <c r="D170" s="10">
        <v>43657.55</v>
      </c>
    </row>
    <row r="171" spans="1:4" x14ac:dyDescent="0.25">
      <c r="A171" s="2" t="str">
        <f>"2.1.6.01.01- Obrigacoes Vinculadas - PAMEH"</f>
        <v>2.1.6.01.01- Obrigacoes Vinculadas - PAMEH</v>
      </c>
      <c r="B171" s="10">
        <v>43635.56</v>
      </c>
      <c r="C171" s="10">
        <v>21.99</v>
      </c>
      <c r="D171" s="10">
        <v>43657.55</v>
      </c>
    </row>
    <row r="172" spans="1:4" x14ac:dyDescent="0.25">
      <c r="A172" s="2" t="str">
        <f>"2.2.0.00.00- PASSIVO NAO CIRCULANTE"</f>
        <v>2.2.0.00.00- PASSIVO NAO CIRCULANTE</v>
      </c>
      <c r="B172" s="10">
        <v>48027562.899999999</v>
      </c>
      <c r="C172" s="10">
        <v>26911.51</v>
      </c>
      <c r="D172" s="10">
        <v>48054474.409999996</v>
      </c>
    </row>
    <row r="173" spans="1:4" x14ac:dyDescent="0.25">
      <c r="A173" s="2" t="str">
        <f>"2.2.4.00.00- OUTRAS OBRIGACOES A LONGO PRAZO"</f>
        <v>2.2.4.00.00- OUTRAS OBRIGACOES A LONGO PRAZO</v>
      </c>
      <c r="B173" s="10">
        <v>44594066.869999997</v>
      </c>
      <c r="C173" s="10">
        <v>0</v>
      </c>
      <c r="D173" s="10">
        <v>44594066.869999997</v>
      </c>
    </row>
    <row r="174" spans="1:4" x14ac:dyDescent="0.25">
      <c r="A174" s="2" t="str">
        <f>"2.2.4.01.00- CREDORES DIVERSOS"</f>
        <v>2.2.4.01.00- CREDORES DIVERSOS</v>
      </c>
      <c r="B174" s="10">
        <v>10868557.66</v>
      </c>
      <c r="C174" s="10">
        <v>0</v>
      </c>
      <c r="D174" s="10">
        <v>10868557.66</v>
      </c>
    </row>
    <row r="175" spans="1:4" x14ac:dyDescent="0.25">
      <c r="A175" s="2" t="str">
        <f>"2.2.4.01.04- Provisão para Contingências Fiscais"</f>
        <v>2.2.4.01.04- Provisão para Contingências Fiscais</v>
      </c>
      <c r="B175" s="10">
        <v>9926702.7200000007</v>
      </c>
      <c r="C175" s="10">
        <v>0</v>
      </c>
      <c r="D175" s="10">
        <v>9926702.7200000007</v>
      </c>
    </row>
    <row r="176" spans="1:4" x14ac:dyDescent="0.25">
      <c r="A176" s="2" t="str">
        <f>"2.2.4.01.05- INSS Segurados"</f>
        <v>2.2.4.01.05- INSS Segurados</v>
      </c>
      <c r="B176" s="10">
        <v>941854.94</v>
      </c>
      <c r="C176" s="10">
        <v>0</v>
      </c>
      <c r="D176" s="10">
        <v>941854.94</v>
      </c>
    </row>
    <row r="177" spans="1:4" x14ac:dyDescent="0.25">
      <c r="A177" s="2" t="str">
        <f>"2.2.4.04.00- ACOES JUDICIAIS E TRABALHISTAS"</f>
        <v>2.2.4.04.00- ACOES JUDICIAIS E TRABALHISTAS</v>
      </c>
      <c r="B177" s="10">
        <v>33725509.210000001</v>
      </c>
      <c r="C177" s="10">
        <v>0</v>
      </c>
      <c r="D177" s="10">
        <v>33725509.210000001</v>
      </c>
    </row>
    <row r="178" spans="1:4" x14ac:dyDescent="0.25">
      <c r="A178" s="2" t="str">
        <f>"2.2.4.04.01- Acoes judiciais"</f>
        <v>2.2.4.04.01- Acoes judiciais</v>
      </c>
      <c r="B178" s="10">
        <v>16494009.210000001</v>
      </c>
      <c r="C178" s="10">
        <v>0</v>
      </c>
      <c r="D178" s="10">
        <v>16494009.210000001</v>
      </c>
    </row>
    <row r="179" spans="1:4" x14ac:dyDescent="0.25">
      <c r="A179" s="2" t="str">
        <f>"2.2.4.04.02- Acoes trabalhistas"</f>
        <v>2.2.4.04.02- Acoes trabalhistas</v>
      </c>
      <c r="B179" s="10">
        <v>17231500</v>
      </c>
      <c r="C179" s="10">
        <v>0</v>
      </c>
      <c r="D179" s="10">
        <v>17231500</v>
      </c>
    </row>
    <row r="180" spans="1:4" x14ac:dyDescent="0.25">
      <c r="A180" s="2" t="str">
        <f>"2.2.5.00.00- OBRIGACOES VINC.  AO PAMEH"</f>
        <v>2.2.5.00.00- OBRIGACOES VINC.  AO PAMEH</v>
      </c>
      <c r="B180" s="10">
        <v>3433496.03</v>
      </c>
      <c r="C180" s="10">
        <v>26911.51</v>
      </c>
      <c r="D180" s="10">
        <v>3460407.54</v>
      </c>
    </row>
    <row r="181" spans="1:4" x14ac:dyDescent="0.25">
      <c r="A181" s="2" t="str">
        <f>"2.2.5.01.00- OBRIGACOES VINC.  AO PAMEH"</f>
        <v>2.2.5.01.00- OBRIGACOES VINC.  AO PAMEH</v>
      </c>
      <c r="B181" s="10">
        <v>3433496.03</v>
      </c>
      <c r="C181" s="10">
        <v>26911.51</v>
      </c>
      <c r="D181" s="10">
        <v>3460407.54</v>
      </c>
    </row>
    <row r="182" spans="1:4" x14ac:dyDescent="0.25">
      <c r="A182" s="2" t="str">
        <f>"2.2.5.01.01- Resultado Exerc.Anteriores-PAMEH"</f>
        <v>2.2.5.01.01- Resultado Exerc.Anteriores-PAMEH</v>
      </c>
      <c r="B182" s="10">
        <v>3478307.51</v>
      </c>
      <c r="C182" s="10">
        <v>0</v>
      </c>
      <c r="D182" s="10">
        <v>3478307.51</v>
      </c>
    </row>
    <row r="183" spans="1:4" x14ac:dyDescent="0.25">
      <c r="A183" s="2" t="str">
        <f>"2.2.5.01.02- Resultado deste Exercicio-PAMEH"</f>
        <v>2.2.5.01.02- Resultado deste Exercicio-PAMEH</v>
      </c>
      <c r="B183" s="10">
        <v>-44811.48</v>
      </c>
      <c r="C183" s="10">
        <v>26911.51</v>
      </c>
      <c r="D183" s="10">
        <v>-17899.97</v>
      </c>
    </row>
    <row r="184" spans="1:4" x14ac:dyDescent="0.25">
      <c r="A184" s="2" t="str">
        <f>"2.4.0.00.00- PATRIMONIO LIQUIDO"</f>
        <v>2.4.0.00.00- PATRIMONIO LIQUIDO</v>
      </c>
      <c r="B184" s="10">
        <v>-76772492</v>
      </c>
      <c r="C184" s="10">
        <v>0</v>
      </c>
      <c r="D184" s="10">
        <v>-76772492</v>
      </c>
    </row>
    <row r="185" spans="1:4" x14ac:dyDescent="0.25">
      <c r="A185" s="2" t="str">
        <f>"2.4.1.00.00- CAPITAL SOCIAL"</f>
        <v>2.4.1.00.00- CAPITAL SOCIAL</v>
      </c>
      <c r="B185" s="10">
        <v>67418193.159999996</v>
      </c>
      <c r="C185" s="10">
        <v>0</v>
      </c>
      <c r="D185" s="10">
        <v>67418193.159999996</v>
      </c>
    </row>
    <row r="186" spans="1:4" x14ac:dyDescent="0.25">
      <c r="A186" s="2" t="str">
        <f>"2.4.1.02.00- CAPITAL REALIZADO"</f>
        <v>2.4.1.02.00- CAPITAL REALIZADO</v>
      </c>
      <c r="B186" s="10">
        <v>67418193.159999996</v>
      </c>
      <c r="C186" s="10">
        <v>0</v>
      </c>
      <c r="D186" s="10">
        <v>67418193.159999996</v>
      </c>
    </row>
    <row r="187" spans="1:4" x14ac:dyDescent="0.25">
      <c r="A187" s="2" t="str">
        <f>"2.4.1.02.01- Capital Subscrito"</f>
        <v>2.4.1.02.01- Capital Subscrito</v>
      </c>
      <c r="B187" s="10">
        <v>75000000</v>
      </c>
      <c r="C187" s="10">
        <v>0</v>
      </c>
      <c r="D187" s="10">
        <v>75000000</v>
      </c>
    </row>
    <row r="188" spans="1:4" x14ac:dyDescent="0.25">
      <c r="A188" s="2" t="str">
        <f>"2.4.1.02.04- Capital a Realizar"</f>
        <v>2.4.1.02.04- Capital a Realizar</v>
      </c>
      <c r="B188" s="10">
        <v>-7581806.8399999999</v>
      </c>
      <c r="C188" s="10">
        <v>0</v>
      </c>
      <c r="D188" s="10">
        <v>-7581806.8399999999</v>
      </c>
    </row>
    <row r="189" spans="1:4" x14ac:dyDescent="0.25">
      <c r="A189" s="2" t="str">
        <f>"2.4.3.00.00- RESULTADOS ACUMULADOS"</f>
        <v>2.4.3.00.00- RESULTADOS ACUMULADOS</v>
      </c>
      <c r="B189" s="10">
        <v>-144190685.16</v>
      </c>
      <c r="C189" s="10">
        <v>0</v>
      </c>
      <c r="D189" s="10">
        <v>-144190685.16</v>
      </c>
    </row>
    <row r="190" spans="1:4" x14ac:dyDescent="0.25">
      <c r="A190" s="2" t="str">
        <f>"2.4.3.01.00- LUCROS/PREJUIZOS ACUMULADOS"</f>
        <v>2.4.3.01.00- LUCROS/PREJUIZOS ACUMULADOS</v>
      </c>
      <c r="B190" s="10">
        <v>-144190685.16</v>
      </c>
      <c r="C190" s="10">
        <v>0</v>
      </c>
      <c r="D190" s="10">
        <v>-144190685.16</v>
      </c>
    </row>
    <row r="191" spans="1:4" x14ac:dyDescent="0.25">
      <c r="A191" s="2" t="str">
        <f>"2.4.3.01.01- Resultados de Exerc. Anteriores"</f>
        <v>2.4.3.01.01- Resultados de Exerc. Anteriores</v>
      </c>
      <c r="B191" s="10">
        <v>-144079394.25</v>
      </c>
      <c r="C191" s="10">
        <v>0</v>
      </c>
      <c r="D191" s="10">
        <v>-144079394.25</v>
      </c>
    </row>
    <row r="192" spans="1:4" x14ac:dyDescent="0.25">
      <c r="A192" s="2" t="str">
        <f>"2.4.3.01.03- Ajuste do Exercicio Anterior"</f>
        <v>2.4.3.01.03- Ajuste do Exercicio Anterior</v>
      </c>
      <c r="B192" s="10">
        <v>-111290.91</v>
      </c>
      <c r="C192" s="10">
        <v>0</v>
      </c>
      <c r="D192" s="10">
        <v>-111290.91</v>
      </c>
    </row>
    <row r="193" spans="1:4" x14ac:dyDescent="0.25">
      <c r="A193" s="2" t="str">
        <f>""</f>
        <v/>
      </c>
      <c r="B193" s="3" t="str">
        <f>""</f>
        <v/>
      </c>
      <c r="C193" s="3" t="str">
        <f>""</f>
        <v/>
      </c>
      <c r="D193" s="3" t="str">
        <f>""</f>
        <v/>
      </c>
    </row>
    <row r="194" spans="1:4" x14ac:dyDescent="0.25">
      <c r="A194" s="2" t="str">
        <f>""</f>
        <v/>
      </c>
      <c r="B194" s="3" t="str">
        <f>""</f>
        <v/>
      </c>
      <c r="C194" s="3" t="str">
        <f>""</f>
        <v/>
      </c>
      <c r="D194" s="3" t="str">
        <f>""</f>
        <v/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"DESPESAS"</f>
        <v>DESPESAS</v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"3.0.0.00.00- DESPESAS"</f>
        <v>3.0.0.00.00- DESPESAS</v>
      </c>
      <c r="B201" s="10">
        <v>11917022.140000001</v>
      </c>
      <c r="C201" s="10">
        <v>12509429.699999999</v>
      </c>
      <c r="D201" s="10">
        <v>24426451.84</v>
      </c>
    </row>
    <row r="202" spans="1:4" x14ac:dyDescent="0.25">
      <c r="A202" s="2" t="str">
        <f>"3.1.0.00.00- DESPESAS OPERACIONAIS"</f>
        <v>3.1.0.00.00- DESPESAS OPERACIONAIS</v>
      </c>
      <c r="B202" s="10">
        <v>11917022.140000001</v>
      </c>
      <c r="C202" s="10">
        <v>12509429.699999999</v>
      </c>
      <c r="D202" s="10">
        <v>24426451.84</v>
      </c>
    </row>
    <row r="203" spans="1:4" x14ac:dyDescent="0.25">
      <c r="A203" s="2" t="str">
        <f>"3.1.1.00.00- SALARIOS ADICIONAIS E HONORARIOS"</f>
        <v>3.1.1.00.00- SALARIOS ADICIONAIS E HONORARIOS</v>
      </c>
      <c r="B203" s="10">
        <v>6100535.7699999996</v>
      </c>
      <c r="C203" s="10">
        <v>7680692.2599999998</v>
      </c>
      <c r="D203" s="10">
        <v>13781228.029999999</v>
      </c>
    </row>
    <row r="204" spans="1:4" x14ac:dyDescent="0.25">
      <c r="A204" s="2" t="str">
        <f>"3.1.1.00.01- Honorarios diretoria"</f>
        <v>3.1.1.00.01- Honorarios diretoria</v>
      </c>
      <c r="B204" s="10">
        <v>89146.42</v>
      </c>
      <c r="C204" s="10">
        <v>89146.42</v>
      </c>
      <c r="D204" s="10">
        <v>178292.84</v>
      </c>
    </row>
    <row r="205" spans="1:4" x14ac:dyDescent="0.25">
      <c r="A205" s="2" t="str">
        <f>"3.1.1.00.02- Honorarios conselho fiscal"</f>
        <v>3.1.1.00.02- Honorarios conselho fiscal</v>
      </c>
      <c r="B205" s="10">
        <v>5311.5</v>
      </c>
      <c r="C205" s="10">
        <v>5311.5</v>
      </c>
      <c r="D205" s="10">
        <v>10623</v>
      </c>
    </row>
    <row r="206" spans="1:4" x14ac:dyDescent="0.25">
      <c r="A206" s="2" t="str">
        <f>"3.1.1.00.03- Honorarios cons. administracao"</f>
        <v>3.1.1.00.03- Honorarios cons. administracao</v>
      </c>
      <c r="B206" s="10">
        <v>10613.71</v>
      </c>
      <c r="C206" s="10">
        <v>10613.71</v>
      </c>
      <c r="D206" s="10">
        <v>21227.42</v>
      </c>
    </row>
    <row r="207" spans="1:4" x14ac:dyDescent="0.25">
      <c r="A207" s="2" t="str">
        <f>"3.1.1.00.04- Salarios e adicionais"</f>
        <v>3.1.1.00.04- Salarios e adicionais</v>
      </c>
      <c r="B207" s="10">
        <v>4864825.87</v>
      </c>
      <c r="C207" s="10">
        <v>6386055.75</v>
      </c>
      <c r="D207" s="10">
        <v>11250881.619999999</v>
      </c>
    </row>
    <row r="208" spans="1:4" x14ac:dyDescent="0.25">
      <c r="A208" s="2" t="str">
        <f>"3.1.1.00.05- Ferias e abono pecuniario"</f>
        <v>3.1.1.00.05- Ferias e abono pecuniario</v>
      </c>
      <c r="B208" s="10">
        <v>661152.11</v>
      </c>
      <c r="C208" s="10">
        <v>658890.06999999995</v>
      </c>
      <c r="D208" s="10">
        <v>1320042.18</v>
      </c>
    </row>
    <row r="209" spans="1:4" x14ac:dyDescent="0.25">
      <c r="A209" s="2" t="str">
        <f>"3.1.1.00.06- Decimo terceiro salario"</f>
        <v>3.1.1.00.06- Decimo terceiro salario</v>
      </c>
      <c r="B209" s="10">
        <v>452862.09</v>
      </c>
      <c r="C209" s="10">
        <v>513868.47</v>
      </c>
      <c r="D209" s="10">
        <v>966730.56</v>
      </c>
    </row>
    <row r="210" spans="1:4" x14ac:dyDescent="0.25">
      <c r="A210" s="2" t="str">
        <f>"3.1.1.00.07- Indenizacoes trabalhistas"</f>
        <v>3.1.1.00.07- Indenizacoes trabalhistas</v>
      </c>
      <c r="B210" s="10">
        <v>3270.53</v>
      </c>
      <c r="C210" s="10">
        <v>4360.71</v>
      </c>
      <c r="D210" s="10">
        <v>7631.24</v>
      </c>
    </row>
    <row r="211" spans="1:4" x14ac:dyDescent="0.25">
      <c r="A211" s="2" t="str">
        <f>"3.1.1.00.08- Bolsas de estagiario"</f>
        <v>3.1.1.00.08- Bolsas de estagiario</v>
      </c>
      <c r="B211" s="10">
        <v>13353.54</v>
      </c>
      <c r="C211" s="10">
        <v>12445.63</v>
      </c>
      <c r="D211" s="10">
        <v>25799.17</v>
      </c>
    </row>
    <row r="212" spans="1:4" x14ac:dyDescent="0.25">
      <c r="A212" s="2" t="str">
        <f>"3.1.2.01.00- ENCARGOS SOCIAIS"</f>
        <v>3.1.2.01.00- ENCARGOS SOCIAIS</v>
      </c>
      <c r="B212" s="10">
        <v>2092352.69</v>
      </c>
      <c r="C212" s="10">
        <v>2776178.45</v>
      </c>
      <c r="D212" s="10">
        <v>4868531.1399999997</v>
      </c>
    </row>
    <row r="213" spans="1:4" x14ac:dyDescent="0.25">
      <c r="A213" s="2" t="str">
        <f>"3.1.2.01.01- INSS"</f>
        <v>3.1.2.01.01- INSS</v>
      </c>
      <c r="B213" s="10">
        <v>1590438.86</v>
      </c>
      <c r="C213" s="10">
        <v>2164621.79</v>
      </c>
      <c r="D213" s="10">
        <v>3755060.65</v>
      </c>
    </row>
    <row r="214" spans="1:4" x14ac:dyDescent="0.25">
      <c r="A214" s="2" t="str">
        <f>"3.1.2.01.02- FGTS"</f>
        <v>3.1.2.01.02- FGTS</v>
      </c>
      <c r="B214" s="10">
        <v>501913.83</v>
      </c>
      <c r="C214" s="10">
        <v>611556.66</v>
      </c>
      <c r="D214" s="10">
        <v>1113470.49</v>
      </c>
    </row>
    <row r="215" spans="1:4" x14ac:dyDescent="0.25">
      <c r="A215" s="2" t="str">
        <f>"3.1.2.02.00- OUTRAS DESPESAS COM PESSOAL"</f>
        <v>3.1.2.02.00- OUTRAS DESPESAS COM PESSOAL</v>
      </c>
      <c r="B215" s="10">
        <v>1250412.78</v>
      </c>
      <c r="C215" s="10">
        <v>1172431.6599999999</v>
      </c>
      <c r="D215" s="10">
        <v>2422844.44</v>
      </c>
    </row>
    <row r="216" spans="1:4" x14ac:dyDescent="0.25">
      <c r="A216" s="2" t="str">
        <f>"3.1.2.02.01- Seguros de Vida"</f>
        <v>3.1.2.02.01- Seguros de Vida</v>
      </c>
      <c r="B216" s="10">
        <v>35917.08</v>
      </c>
      <c r="C216" s="10">
        <v>1323.96</v>
      </c>
      <c r="D216" s="10">
        <v>37241.040000000001</v>
      </c>
    </row>
    <row r="217" spans="1:4" x14ac:dyDescent="0.25">
      <c r="A217" s="2" t="str">
        <f>"3.1.2.02.02- Ass. Medica Odontologica"</f>
        <v>3.1.2.02.02- Ass. Medica Odontologica</v>
      </c>
      <c r="B217" s="10">
        <v>317811.05</v>
      </c>
      <c r="C217" s="10">
        <v>294238.05</v>
      </c>
      <c r="D217" s="10">
        <v>612049.1</v>
      </c>
    </row>
    <row r="218" spans="1:4" x14ac:dyDescent="0.25">
      <c r="A218" s="2" t="str">
        <f>"3.1.2.02.03- Vale Transporte"</f>
        <v>3.1.2.02.03- Vale Transporte</v>
      </c>
      <c r="B218" s="10">
        <v>58148.11</v>
      </c>
      <c r="C218" s="10">
        <v>46771.92</v>
      </c>
      <c r="D218" s="10">
        <v>104920.03</v>
      </c>
    </row>
    <row r="219" spans="1:4" x14ac:dyDescent="0.25">
      <c r="A219" s="2" t="str">
        <f>"3.1.2.02.04- Vale Refeicao/Alimentacao"</f>
        <v>3.1.2.02.04- Vale Refeicao/Alimentacao</v>
      </c>
      <c r="B219" s="10">
        <v>805674.81</v>
      </c>
      <c r="C219" s="10">
        <v>802165.84</v>
      </c>
      <c r="D219" s="10">
        <v>1607840.65</v>
      </c>
    </row>
    <row r="220" spans="1:4" x14ac:dyDescent="0.25">
      <c r="A220" s="2" t="str">
        <f>"3.1.2.02.05- Compl. Auxilio Doenca"</f>
        <v>3.1.2.02.05- Compl. Auxilio Doenca</v>
      </c>
      <c r="B220" s="10">
        <v>10366.969999999999</v>
      </c>
      <c r="C220" s="10">
        <v>6157.87</v>
      </c>
      <c r="D220" s="10">
        <v>16524.84</v>
      </c>
    </row>
    <row r="221" spans="1:4" x14ac:dyDescent="0.25">
      <c r="A221" s="2" t="str">
        <f>"3.1.2.02.06- Cursos e Treinamentos"</f>
        <v>3.1.2.02.06- Cursos e Treinamentos</v>
      </c>
      <c r="B221" s="10">
        <v>1089</v>
      </c>
      <c r="C221" s="10">
        <v>617</v>
      </c>
      <c r="D221" s="10">
        <v>1706</v>
      </c>
    </row>
    <row r="222" spans="1:4" x14ac:dyDescent="0.25">
      <c r="A222" s="2" t="str">
        <f>"3.1.2.02.07- Auxilio Creche"</f>
        <v>3.1.2.02.07- Auxilio Creche</v>
      </c>
      <c r="B222" s="10">
        <v>21405.759999999998</v>
      </c>
      <c r="C222" s="10">
        <v>21157.02</v>
      </c>
      <c r="D222" s="10">
        <v>42562.78</v>
      </c>
    </row>
    <row r="223" spans="1:4" x14ac:dyDescent="0.25">
      <c r="A223" s="2" t="str">
        <f>"3.1.3.00.00- MATERIAIS"</f>
        <v>3.1.3.00.00- MATERIAIS</v>
      </c>
      <c r="B223" s="10">
        <v>106806.49</v>
      </c>
      <c r="C223" s="10">
        <v>59139.08</v>
      </c>
      <c r="D223" s="10">
        <v>165945.57</v>
      </c>
    </row>
    <row r="224" spans="1:4" x14ac:dyDescent="0.25">
      <c r="A224" s="2" t="str">
        <f>"3.1.3.00.01- Bens de natureza permanente"</f>
        <v>3.1.3.00.01- Bens de natureza permanente</v>
      </c>
      <c r="B224" s="10">
        <v>1738.38</v>
      </c>
      <c r="C224" s="10">
        <v>675</v>
      </c>
      <c r="D224" s="10">
        <v>2413.38</v>
      </c>
    </row>
    <row r="225" spans="1:4" x14ac:dyDescent="0.25">
      <c r="A225" s="2" t="str">
        <f>"3.1.3.00.08- Material seguranca e uniformes"</f>
        <v>3.1.3.00.08- Material seguranca e uniformes</v>
      </c>
      <c r="B225" s="10">
        <v>1103.9000000000001</v>
      </c>
      <c r="C225" s="10">
        <v>365.2</v>
      </c>
      <c r="D225" s="10">
        <v>1469.1</v>
      </c>
    </row>
    <row r="226" spans="1:4" x14ac:dyDescent="0.25">
      <c r="A226" s="2" t="str">
        <f>"3.1.3.00.09- Material limp/conserv/copa/cozin"</f>
        <v>3.1.3.00.09- Material limp/conserv/copa/cozin</v>
      </c>
      <c r="B226" s="10">
        <v>13493.61</v>
      </c>
      <c r="C226" s="10">
        <v>7349.86</v>
      </c>
      <c r="D226" s="10">
        <v>20843.47</v>
      </c>
    </row>
    <row r="227" spans="1:4" x14ac:dyDescent="0.25">
      <c r="A227" s="2" t="str">
        <f>"3.1.3.00.10- Impressos e material de escritorio"</f>
        <v>3.1.3.00.10- Impressos e material de escritorio</v>
      </c>
      <c r="B227" s="10">
        <v>16465.04</v>
      </c>
      <c r="C227" s="10">
        <v>7799.33</v>
      </c>
      <c r="D227" s="10">
        <v>24264.37</v>
      </c>
    </row>
    <row r="228" spans="1:4" x14ac:dyDescent="0.25">
      <c r="A228" s="2" t="str">
        <f>"3.1.3.00.11- Materiais manut. inst. prediais"</f>
        <v>3.1.3.00.11- Materiais manut. inst. prediais</v>
      </c>
      <c r="B228" s="10">
        <v>34665.1</v>
      </c>
      <c r="C228" s="10">
        <v>14142.61</v>
      </c>
      <c r="D228" s="10">
        <v>48807.71</v>
      </c>
    </row>
    <row r="229" spans="1:4" x14ac:dyDescent="0.25">
      <c r="A229" s="2" t="str">
        <f>"3.1.3.00.12- Carnes estacionamento rotativo"</f>
        <v>3.1.3.00.12- Carnes estacionamento rotativo</v>
      </c>
      <c r="B229" s="10">
        <v>31853.25</v>
      </c>
      <c r="C229" s="10">
        <v>27561.71</v>
      </c>
      <c r="D229" s="10">
        <v>59414.96</v>
      </c>
    </row>
    <row r="230" spans="1:4" x14ac:dyDescent="0.25">
      <c r="A230" s="2" t="str">
        <f>"3.1.3.00.15- Materiais e supriment informatic"</f>
        <v>3.1.3.00.15- Materiais e supriment informatic</v>
      </c>
      <c r="B230" s="10">
        <v>7487.21</v>
      </c>
      <c r="C230" s="10">
        <v>1245.3699999999999</v>
      </c>
      <c r="D230" s="10">
        <v>8732.58</v>
      </c>
    </row>
    <row r="231" spans="1:4" x14ac:dyDescent="0.25">
      <c r="A231" s="2" t="str">
        <f>"3.1.4.00.00- SERVICOS PRESTADOS POR TERCEIROS"</f>
        <v>3.1.4.00.00- SERVICOS PRESTADOS POR TERCEIROS</v>
      </c>
      <c r="B231" s="10">
        <v>1841152.51</v>
      </c>
      <c r="C231" s="10">
        <v>440617.96</v>
      </c>
      <c r="D231" s="10">
        <v>2281770.4700000002</v>
      </c>
    </row>
    <row r="232" spans="1:4" x14ac:dyDescent="0.25">
      <c r="A232" s="2" t="str">
        <f>"3.1.4.00.03- Locacao de equipamentos"</f>
        <v>3.1.4.00.03- Locacao de equipamentos</v>
      </c>
      <c r="B232" s="10">
        <v>0</v>
      </c>
      <c r="C232" s="10">
        <v>6325.2</v>
      </c>
      <c r="D232" s="10">
        <v>6325.2</v>
      </c>
    </row>
    <row r="233" spans="1:4" x14ac:dyDescent="0.25">
      <c r="A233" s="2" t="str">
        <f>"3.1.4.00.10- Mao de obra contratada"</f>
        <v>3.1.4.00.10- Mao de obra contratada</v>
      </c>
      <c r="B233" s="10">
        <v>65537.399999999994</v>
      </c>
      <c r="C233" s="10">
        <v>66949.34</v>
      </c>
      <c r="D233" s="10">
        <v>132486.74</v>
      </c>
    </row>
    <row r="234" spans="1:4" x14ac:dyDescent="0.25">
      <c r="A234" s="2" t="str">
        <f>"3.1.4.00.13- Publicidade e divulgacao"</f>
        <v>3.1.4.00.13- Publicidade e divulgacao</v>
      </c>
      <c r="B234" s="10">
        <v>11571.96</v>
      </c>
      <c r="C234" s="10">
        <v>864.15</v>
      </c>
      <c r="D234" s="10">
        <v>12436.11</v>
      </c>
    </row>
    <row r="235" spans="1:4" x14ac:dyDescent="0.25">
      <c r="A235" s="2" t="str">
        <f>"3.1.4.00.14- Informatica-serv. e/ou locacao"</f>
        <v>3.1.4.00.14- Informatica-serv. e/ou locacao</v>
      </c>
      <c r="B235" s="10">
        <v>80515.600000000006</v>
      </c>
      <c r="C235" s="10">
        <v>121710.16</v>
      </c>
      <c r="D235" s="10">
        <v>202225.76</v>
      </c>
    </row>
    <row r="236" spans="1:4" x14ac:dyDescent="0.25">
      <c r="A236" s="2" t="str">
        <f>"3.1.4.00.15- Outros serv. prestados - PF"</f>
        <v>3.1.4.00.15- Outros serv. prestados - PF</v>
      </c>
      <c r="B236" s="10">
        <v>7616.08</v>
      </c>
      <c r="C236" s="10">
        <v>5159.28</v>
      </c>
      <c r="D236" s="10">
        <v>12775.36</v>
      </c>
    </row>
    <row r="237" spans="1:4" x14ac:dyDescent="0.25">
      <c r="A237" s="2" t="str">
        <f>"3.1.4.00.16- Outros serv. Prestados - PJ"</f>
        <v>3.1.4.00.16- Outros serv. Prestados - PJ</v>
      </c>
      <c r="B237" s="10">
        <v>7664.33</v>
      </c>
      <c r="C237" s="10">
        <v>17609.03</v>
      </c>
      <c r="D237" s="10">
        <v>25273.360000000001</v>
      </c>
    </row>
    <row r="238" spans="1:4" x14ac:dyDescent="0.25">
      <c r="A238" s="2" t="str">
        <f>"3.1.4.00.17- Servicos postais"</f>
        <v>3.1.4.00.17- Servicos postais</v>
      </c>
      <c r="B238" s="10">
        <v>3524.49</v>
      </c>
      <c r="C238" s="10">
        <v>4124.9399999999996</v>
      </c>
      <c r="D238" s="10">
        <v>7649.43</v>
      </c>
    </row>
    <row r="239" spans="1:4" x14ac:dyDescent="0.25">
      <c r="A239" s="2" t="str">
        <f>"3.1.4.00.18- INSS s/servicos de terceiros"</f>
        <v>3.1.4.00.18- INSS s/servicos de terceiros</v>
      </c>
      <c r="B239" s="10">
        <v>2416.56</v>
      </c>
      <c r="C239" s="10">
        <v>2000.61</v>
      </c>
      <c r="D239" s="10">
        <v>4417.17</v>
      </c>
    </row>
    <row r="240" spans="1:4" x14ac:dyDescent="0.25">
      <c r="A240" s="2" t="str">
        <f>"3.1.4.00.19- Manut. imoveis/instal/equip.oper"</f>
        <v>3.1.4.00.19- Manut. imoveis/instal/equip.oper</v>
      </c>
      <c r="B240" s="10">
        <v>35616.83</v>
      </c>
      <c r="C240" s="10">
        <v>22695.61</v>
      </c>
      <c r="D240" s="10">
        <v>58312.44</v>
      </c>
    </row>
    <row r="241" spans="1:4" x14ac:dyDescent="0.25">
      <c r="A241" s="2" t="str">
        <f>"3.1.4.00.22- Consultoria tec.Operacional"</f>
        <v>3.1.4.00.22- Consultoria tec.Operacional</v>
      </c>
      <c r="B241" s="10">
        <v>0</v>
      </c>
      <c r="C241" s="10">
        <v>2800</v>
      </c>
      <c r="D241" s="10">
        <v>2800</v>
      </c>
    </row>
    <row r="242" spans="1:4" x14ac:dyDescent="0.25">
      <c r="A242" s="2" t="str">
        <f>"3.1.4.00.24- Loc.serv.mensageiro"</f>
        <v>3.1.4.00.24- Loc.serv.mensageiro</v>
      </c>
      <c r="B242" s="10">
        <v>0</v>
      </c>
      <c r="C242" s="10">
        <v>4700</v>
      </c>
      <c r="D242" s="10">
        <v>4700</v>
      </c>
    </row>
    <row r="243" spans="1:4" x14ac:dyDescent="0.25">
      <c r="A243" s="2" t="str">
        <f>"3.1.4.00.26- Serv.limp.conserv."</f>
        <v>3.1.4.00.26- Serv.limp.conserv.</v>
      </c>
      <c r="B243" s="10">
        <v>1545978.51</v>
      </c>
      <c r="C243" s="10">
        <v>0</v>
      </c>
      <c r="D243" s="10">
        <v>1545978.51</v>
      </c>
    </row>
    <row r="244" spans="1:4" x14ac:dyDescent="0.25">
      <c r="A244" s="2" t="str">
        <f>"3.1.4.00.34- Comissao s/venda rotativo"</f>
        <v>3.1.4.00.34- Comissao s/venda rotativo</v>
      </c>
      <c r="B244" s="10">
        <v>73886.91</v>
      </c>
      <c r="C244" s="10">
        <v>58668.02</v>
      </c>
      <c r="D244" s="10">
        <v>132554.93</v>
      </c>
    </row>
    <row r="245" spans="1:4" x14ac:dyDescent="0.25">
      <c r="A245" s="2" t="str">
        <f>"3.1.4.00.36- (-) Desconto ISSQN conf Lei 9145 serv. P"</f>
        <v>3.1.4.00.36- (-) Desconto ISSQN conf Lei 9145 serv. P</v>
      </c>
      <c r="B245" s="10">
        <v>-19793.64</v>
      </c>
      <c r="C245" s="10">
        <v>-9779.35</v>
      </c>
      <c r="D245" s="10">
        <v>-29572.99</v>
      </c>
    </row>
    <row r="246" spans="1:4" x14ac:dyDescent="0.25">
      <c r="A246" s="2" t="str">
        <f>"3.1.4.00.39- Convênio Guarda Municipal"</f>
        <v>3.1.4.00.39- Convênio Guarda Municipal</v>
      </c>
      <c r="B246" s="10">
        <v>26617.48</v>
      </c>
      <c r="C246" s="10">
        <v>136790.97</v>
      </c>
      <c r="D246" s="10">
        <v>163408.45000000001</v>
      </c>
    </row>
    <row r="247" spans="1:4" x14ac:dyDescent="0.25">
      <c r="A247" s="2" t="str">
        <f>"3.1.5.00.00- TARIFAS PUBLICAS"</f>
        <v>3.1.5.00.00- TARIFAS PUBLICAS</v>
      </c>
      <c r="B247" s="10">
        <v>133169.82999999999</v>
      </c>
      <c r="C247" s="10">
        <v>123528.05</v>
      </c>
      <c r="D247" s="10">
        <v>256697.88</v>
      </c>
    </row>
    <row r="248" spans="1:4" x14ac:dyDescent="0.25">
      <c r="A248" s="2" t="str">
        <f>"3.1.5.00.02- Energia eletrica"</f>
        <v>3.1.5.00.02- Energia eletrica</v>
      </c>
      <c r="B248" s="10">
        <v>104479.42</v>
      </c>
      <c r="C248" s="10">
        <v>97526.9</v>
      </c>
      <c r="D248" s="10">
        <v>202006.32</v>
      </c>
    </row>
    <row r="249" spans="1:4" x14ac:dyDescent="0.25">
      <c r="A249" s="2" t="str">
        <f>"3.1.5.00.03- Telefone"</f>
        <v>3.1.5.00.03- Telefone</v>
      </c>
      <c r="B249" s="10">
        <v>28690.41</v>
      </c>
      <c r="C249" s="10">
        <v>26001.15</v>
      </c>
      <c r="D249" s="10">
        <v>54691.56</v>
      </c>
    </row>
    <row r="250" spans="1:4" x14ac:dyDescent="0.25">
      <c r="A250" s="2" t="str">
        <f>"3.1.6.00.00- DESPESAS TRIBUTARIAS"</f>
        <v>3.1.6.00.00- DESPESAS TRIBUTARIAS</v>
      </c>
      <c r="B250" s="10">
        <v>255528.24</v>
      </c>
      <c r="C250" s="10">
        <v>205396.76</v>
      </c>
      <c r="D250" s="10">
        <v>460925</v>
      </c>
    </row>
    <row r="251" spans="1:4" x14ac:dyDescent="0.25">
      <c r="A251" s="2" t="str">
        <f>"3.1.6.00.03- IOF"</f>
        <v>3.1.6.00.03- IOF</v>
      </c>
      <c r="B251" s="10">
        <v>1178</v>
      </c>
      <c r="C251" s="10">
        <v>0</v>
      </c>
      <c r="D251" s="10">
        <v>1178</v>
      </c>
    </row>
    <row r="252" spans="1:4" x14ac:dyDescent="0.25">
      <c r="A252" s="2" t="str">
        <f>"3.1.6.00.06- PIS"</f>
        <v>3.1.6.00.06- PIS</v>
      </c>
      <c r="B252" s="10">
        <v>43941.91</v>
      </c>
      <c r="C252" s="10">
        <v>32679.03</v>
      </c>
      <c r="D252" s="10">
        <v>76620.94</v>
      </c>
    </row>
    <row r="253" spans="1:4" x14ac:dyDescent="0.25">
      <c r="A253" s="2" t="str">
        <f>"3.1.6.00.07- COFINS"</f>
        <v>3.1.6.00.07- COFINS</v>
      </c>
      <c r="B253" s="10">
        <v>202399.12</v>
      </c>
      <c r="C253" s="10">
        <v>150521.60000000001</v>
      </c>
      <c r="D253" s="10">
        <v>352920.72</v>
      </c>
    </row>
    <row r="254" spans="1:4" x14ac:dyDescent="0.25">
      <c r="A254" s="2" t="str">
        <f>"3.1.6.00.08- Multas indedutiveis"</f>
        <v>3.1.6.00.08- Multas indedutiveis</v>
      </c>
      <c r="B254" s="10">
        <v>0</v>
      </c>
      <c r="C254" s="10">
        <v>0.84</v>
      </c>
      <c r="D254" s="10">
        <v>0.84</v>
      </c>
    </row>
    <row r="255" spans="1:4" x14ac:dyDescent="0.25">
      <c r="A255" s="2" t="str">
        <f>"3.1.6.00.10- ISS s/faturamento"</f>
        <v>3.1.6.00.10- ISS s/faturamento</v>
      </c>
      <c r="B255" s="10">
        <v>2057.65</v>
      </c>
      <c r="C255" s="10">
        <v>2109.9</v>
      </c>
      <c r="D255" s="10">
        <v>4167.55</v>
      </c>
    </row>
    <row r="256" spans="1:4" x14ac:dyDescent="0.25">
      <c r="A256" s="2" t="str">
        <f>"3.1.6.00.14- Contrib.entid.classe"</f>
        <v>3.1.6.00.14- Contrib.entid.classe</v>
      </c>
      <c r="B256" s="10">
        <v>3517.08</v>
      </c>
      <c r="C256" s="10">
        <v>18007.22</v>
      </c>
      <c r="D256" s="10">
        <v>21524.3</v>
      </c>
    </row>
    <row r="257" spans="1:4" x14ac:dyDescent="0.25">
      <c r="A257" s="2" t="str">
        <f>"3.1.6.00.15- INSS Serv.terceiros"</f>
        <v>3.1.6.00.15- INSS Serv.terceiros</v>
      </c>
      <c r="B257" s="10">
        <v>1523.21</v>
      </c>
      <c r="C257" s="10">
        <v>1301.83</v>
      </c>
      <c r="D257" s="10">
        <v>2825.04</v>
      </c>
    </row>
    <row r="258" spans="1:4" x14ac:dyDescent="0.25">
      <c r="A258" s="2" t="str">
        <f>"3.1.6.00.17- PIS s/ receitas financeiras"</f>
        <v>3.1.6.00.17- PIS s/ receitas financeiras</v>
      </c>
      <c r="B258" s="10">
        <v>127.38</v>
      </c>
      <c r="C258" s="10">
        <v>108.52</v>
      </c>
      <c r="D258" s="10">
        <v>235.9</v>
      </c>
    </row>
    <row r="259" spans="1:4" x14ac:dyDescent="0.25">
      <c r="A259" s="2" t="str">
        <f>"3.1.6.00.18- Cofins s/ receitas financeiras"</f>
        <v>3.1.6.00.18- Cofins s/ receitas financeiras</v>
      </c>
      <c r="B259" s="10">
        <v>783.89</v>
      </c>
      <c r="C259" s="10">
        <v>667.82</v>
      </c>
      <c r="D259" s="10">
        <v>1451.71</v>
      </c>
    </row>
    <row r="260" spans="1:4" x14ac:dyDescent="0.25">
      <c r="A260" s="2" t="str">
        <f>"3.1.7.00.00- DESPESAS FINANCEIRAS"</f>
        <v>3.1.7.00.00- DESPESAS FINANCEIRAS</v>
      </c>
      <c r="B260" s="10">
        <v>1552.1</v>
      </c>
      <c r="C260" s="10">
        <v>429.49</v>
      </c>
      <c r="D260" s="10">
        <v>1981.59</v>
      </c>
    </row>
    <row r="261" spans="1:4" x14ac:dyDescent="0.25">
      <c r="A261" s="2" t="str">
        <f>"3.1.7.01.02- Despesas bancarias"</f>
        <v>3.1.7.01.02- Despesas bancarias</v>
      </c>
      <c r="B261" s="10">
        <v>1552.1</v>
      </c>
      <c r="C261" s="10">
        <v>429.49</v>
      </c>
      <c r="D261" s="10">
        <v>1981.59</v>
      </c>
    </row>
    <row r="262" spans="1:4" x14ac:dyDescent="0.25">
      <c r="A262" s="2" t="str">
        <f>"3.1.8.00.00- OUTRAS DESPESAS"</f>
        <v>3.1.8.00.00- OUTRAS DESPESAS</v>
      </c>
      <c r="B262" s="10">
        <v>135511.73000000001</v>
      </c>
      <c r="C262" s="10">
        <v>51015.99</v>
      </c>
      <c r="D262" s="10">
        <v>186527.72</v>
      </c>
    </row>
    <row r="263" spans="1:4" x14ac:dyDescent="0.25">
      <c r="A263" s="2" t="str">
        <f>"3.1.8.00.01- Despesas de viagem"</f>
        <v>3.1.8.00.01- Despesas de viagem</v>
      </c>
      <c r="B263" s="10">
        <v>17933.599999999999</v>
      </c>
      <c r="C263" s="10">
        <v>3154.96</v>
      </c>
      <c r="D263" s="10">
        <v>21088.560000000001</v>
      </c>
    </row>
    <row r="264" spans="1:4" x14ac:dyDescent="0.25">
      <c r="A264" s="2" t="str">
        <f>"3.1.8.00.05- Depreciacao/amort"</f>
        <v>3.1.8.00.05- Depreciacao/amort</v>
      </c>
      <c r="B264" s="10">
        <v>22128.02</v>
      </c>
      <c r="C264" s="10">
        <v>22020.84</v>
      </c>
      <c r="D264" s="10">
        <v>44148.86</v>
      </c>
    </row>
    <row r="265" spans="1:4" x14ac:dyDescent="0.25">
      <c r="A265" s="2" t="str">
        <f>"3.1.8.00.06- Seguros bens moveis e imoveis"</f>
        <v>3.1.8.00.06- Seguros bens moveis e imoveis</v>
      </c>
      <c r="B265" s="10">
        <v>1159</v>
      </c>
      <c r="C265" s="10">
        <v>1159</v>
      </c>
      <c r="D265" s="10">
        <v>2318</v>
      </c>
    </row>
    <row r="266" spans="1:4" x14ac:dyDescent="0.25">
      <c r="A266" s="2" t="str">
        <f>"3.1.8.00.08- Alugueis e condominio"</f>
        <v>3.1.8.00.08- Alugueis e condominio</v>
      </c>
      <c r="B266" s="10">
        <v>5071.8100000000004</v>
      </c>
      <c r="C266" s="10">
        <v>5071.8100000000004</v>
      </c>
      <c r="D266" s="10">
        <v>10143.620000000001</v>
      </c>
    </row>
    <row r="267" spans="1:4" x14ac:dyDescent="0.25">
      <c r="A267" s="2" t="str">
        <f>"3.1.8.00.12- Acoes judiciais terceiros"</f>
        <v>3.1.8.00.12- Acoes judiciais terceiros</v>
      </c>
      <c r="B267" s="10">
        <v>35000</v>
      </c>
      <c r="C267" s="10">
        <v>3800</v>
      </c>
      <c r="D267" s="10">
        <v>38800</v>
      </c>
    </row>
    <row r="268" spans="1:4" x14ac:dyDescent="0.25">
      <c r="A268" s="2" t="str">
        <f>"3.1.8.00.17- Gastos com eventos e promocoes"</f>
        <v>3.1.8.00.17- Gastos com eventos e promocoes</v>
      </c>
      <c r="B268" s="10">
        <v>0</v>
      </c>
      <c r="C268" s="10">
        <v>1350</v>
      </c>
      <c r="D268" s="10">
        <v>1350</v>
      </c>
    </row>
    <row r="269" spans="1:4" x14ac:dyDescent="0.25">
      <c r="A269" s="2" t="str">
        <f>"3.1.8.00.18- Provisao para perdas"</f>
        <v>3.1.8.00.18- Provisao para perdas</v>
      </c>
      <c r="B269" s="10">
        <v>51603.49</v>
      </c>
      <c r="C269" s="10">
        <v>9584.7900000000009</v>
      </c>
      <c r="D269" s="10">
        <v>61188.28</v>
      </c>
    </row>
    <row r="270" spans="1:4" x14ac:dyDescent="0.25">
      <c r="A270" s="2" t="str">
        <f>"3.1.8.00.23- Custas/Despesas Judiciais"</f>
        <v>3.1.8.00.23- Custas/Despesas Judiciais</v>
      </c>
      <c r="B270" s="10">
        <v>2630.81</v>
      </c>
      <c r="C270" s="10">
        <v>5018.0600000000004</v>
      </c>
      <c r="D270" s="10">
        <v>7648.87</v>
      </c>
    </row>
    <row r="271" spans="1:4" x14ac:dyDescent="0.25">
      <c r="A271" s="2" t="str">
        <f>"3.1.8.00.99- Despesas diversas"</f>
        <v>3.1.8.00.99- Despesas diversas</v>
      </c>
      <c r="B271" s="10">
        <v>-15</v>
      </c>
      <c r="C271" s="10">
        <v>-143.47</v>
      </c>
      <c r="D271" s="10">
        <v>-158.47</v>
      </c>
    </row>
    <row r="272" spans="1:4" x14ac:dyDescent="0.25">
      <c r="A272" s="2" t="str">
        <f>""</f>
        <v/>
      </c>
      <c r="B272" s="3" t="str">
        <f>""</f>
        <v/>
      </c>
      <c r="C272" s="3" t="str">
        <f>""</f>
        <v/>
      </c>
      <c r="D272" s="3" t="str">
        <f>""</f>
        <v/>
      </c>
    </row>
    <row r="273" spans="1:4" x14ac:dyDescent="0.25">
      <c r="A273" s="2" t="str">
        <f>""</f>
        <v/>
      </c>
      <c r="B273" s="3" t="str">
        <f>""</f>
        <v/>
      </c>
      <c r="C273" s="3" t="str">
        <f>""</f>
        <v/>
      </c>
      <c r="D273" s="3" t="str">
        <f>""</f>
        <v/>
      </c>
    </row>
    <row r="274" spans="1:4" x14ac:dyDescent="0.25">
      <c r="A274" s="2" t="str">
        <f>""</f>
        <v/>
      </c>
      <c r="B274" s="3" t="str">
        <f>""</f>
        <v/>
      </c>
      <c r="C274" s="3" t="str">
        <f>""</f>
        <v/>
      </c>
      <c r="D274" s="3" t="str">
        <f>""</f>
        <v/>
      </c>
    </row>
    <row r="275" spans="1:4" x14ac:dyDescent="0.25">
      <c r="A275" s="2" t="str">
        <f>""</f>
        <v/>
      </c>
      <c r="B275" s="3" t="str">
        <f>""</f>
        <v/>
      </c>
      <c r="C275" s="3" t="str">
        <f>""</f>
        <v/>
      </c>
      <c r="D275" s="3" t="str">
        <f>""</f>
        <v/>
      </c>
    </row>
    <row r="276" spans="1:4" x14ac:dyDescent="0.25">
      <c r="A276" s="2" t="str">
        <f>""</f>
        <v/>
      </c>
      <c r="B276" s="3" t="str">
        <f>""</f>
        <v/>
      </c>
      <c r="C276" s="3" t="str">
        <f>""</f>
        <v/>
      </c>
      <c r="D276" s="3" t="str">
        <f>""</f>
        <v/>
      </c>
    </row>
    <row r="277" spans="1:4" x14ac:dyDescent="0.25">
      <c r="A277" s="2" t="str">
        <f>""</f>
        <v/>
      </c>
      <c r="B277" s="3" t="str">
        <f>""</f>
        <v/>
      </c>
      <c r="C277" s="3" t="str">
        <f>""</f>
        <v/>
      </c>
      <c r="D277" s="3" t="str">
        <f>""</f>
        <v/>
      </c>
    </row>
    <row r="278" spans="1:4" x14ac:dyDescent="0.25">
      <c r="A278" s="2" t="str">
        <f>""</f>
        <v/>
      </c>
      <c r="B278" s="3" t="str">
        <f>""</f>
        <v/>
      </c>
      <c r="C278" s="3" t="str">
        <f>""</f>
        <v/>
      </c>
      <c r="D278" s="3" t="str">
        <f>""</f>
        <v/>
      </c>
    </row>
    <row r="279" spans="1:4" x14ac:dyDescent="0.25">
      <c r="A279" s="2" t="str">
        <f>""</f>
        <v/>
      </c>
      <c r="B279" s="3" t="str">
        <f>""</f>
        <v/>
      </c>
      <c r="C279" s="3" t="str">
        <f>""</f>
        <v/>
      </c>
      <c r="D279" s="3" t="str">
        <f>""</f>
        <v/>
      </c>
    </row>
    <row r="280" spans="1:4" x14ac:dyDescent="0.25">
      <c r="A280" s="2" t="str">
        <f>""</f>
        <v/>
      </c>
      <c r="B280" s="3" t="str">
        <f>""</f>
        <v/>
      </c>
      <c r="C280" s="3" t="str">
        <f>""</f>
        <v/>
      </c>
      <c r="D280" s="3" t="str">
        <f>""</f>
        <v/>
      </c>
    </row>
    <row r="281" spans="1:4" x14ac:dyDescent="0.25">
      <c r="A281" s="2" t="str">
        <f>""</f>
        <v/>
      </c>
      <c r="B281" s="3" t="str">
        <f>""</f>
        <v/>
      </c>
      <c r="C281" s="3" t="str">
        <f>""</f>
        <v/>
      </c>
      <c r="D281" s="3" t="str">
        <f>""</f>
        <v/>
      </c>
    </row>
    <row r="282" spans="1:4" x14ac:dyDescent="0.25">
      <c r="A282" s="2" t="str">
        <f>"RECEITAS"</f>
        <v>RECEITAS</v>
      </c>
      <c r="B282" s="3" t="str">
        <f>""</f>
        <v/>
      </c>
      <c r="C282" s="3" t="str">
        <f>""</f>
        <v/>
      </c>
      <c r="D282" s="3" t="str">
        <f>""</f>
        <v/>
      </c>
    </row>
    <row r="283" spans="1:4" x14ac:dyDescent="0.25">
      <c r="A283" s="2" t="str">
        <f>"4.0.0.00.00- RECEITAS"</f>
        <v>4.0.0.00.00- RECEITAS</v>
      </c>
      <c r="B283" s="10">
        <v>11604280.119999999</v>
      </c>
      <c r="C283" s="10">
        <v>12297724.140000001</v>
      </c>
      <c r="D283" s="10">
        <v>23902004.260000002</v>
      </c>
    </row>
    <row r="284" spans="1:4" x14ac:dyDescent="0.25">
      <c r="A284" s="2" t="str">
        <f>"4.1.0.00.00- RECEITAS BHTRANS"</f>
        <v>4.1.0.00.00- RECEITAS BHTRANS</v>
      </c>
      <c r="B284" s="10">
        <v>11451354.279999999</v>
      </c>
      <c r="C284" s="10">
        <v>11982487.26</v>
      </c>
      <c r="D284" s="10">
        <v>23433841.539999999</v>
      </c>
    </row>
    <row r="285" spans="1:4" x14ac:dyDescent="0.25">
      <c r="A285" s="2" t="str">
        <f>"4.1.1.00.00- RECEITAS OPERACIONAIS"</f>
        <v>4.1.1.00.00- RECEITAS OPERACIONAIS</v>
      </c>
      <c r="B285" s="10">
        <v>11382167.75</v>
      </c>
      <c r="C285" s="10">
        <v>11944702.76</v>
      </c>
      <c r="D285" s="10">
        <v>23326870.510000002</v>
      </c>
    </row>
    <row r="286" spans="1:4" x14ac:dyDescent="0.25">
      <c r="A286" s="2" t="str">
        <f>"4.1.1.00.05- Midia taxi, escolar e suplementar"</f>
        <v>4.1.1.00.05- Midia taxi, escolar e suplementar</v>
      </c>
      <c r="B286" s="10">
        <v>4504.18</v>
      </c>
      <c r="C286" s="10">
        <v>614.72</v>
      </c>
      <c r="D286" s="10">
        <v>5118.8999999999996</v>
      </c>
    </row>
    <row r="287" spans="1:4" x14ac:dyDescent="0.25">
      <c r="A287" s="2" t="str">
        <f>"4.1.1.00.06- Midia em onibus"</f>
        <v>4.1.1.00.06- Midia em onibus</v>
      </c>
      <c r="B287" s="10">
        <v>56388.56</v>
      </c>
      <c r="C287" s="10">
        <v>56787.13</v>
      </c>
      <c r="D287" s="10">
        <v>113175.69</v>
      </c>
    </row>
    <row r="288" spans="1:4" x14ac:dyDescent="0.25">
      <c r="A288" s="2" t="str">
        <f>"4.1.1.00.07- Midias diversas"</f>
        <v>4.1.1.00.07- Midias diversas</v>
      </c>
      <c r="B288" s="10">
        <v>7625.67</v>
      </c>
      <c r="C288" s="10">
        <v>12893.46</v>
      </c>
      <c r="D288" s="10">
        <v>20519.13</v>
      </c>
    </row>
    <row r="289" spans="1:4" x14ac:dyDescent="0.25">
      <c r="A289" s="2" t="str">
        <f>"4.1.1.00.08- Estacionamento Rotativo"</f>
        <v>4.1.1.00.08- Estacionamento Rotativo</v>
      </c>
      <c r="B289" s="10">
        <v>1841210.8</v>
      </c>
      <c r="C289" s="10">
        <v>1464944.8</v>
      </c>
      <c r="D289" s="10">
        <v>3306155.6</v>
      </c>
    </row>
    <row r="290" spans="1:4" x14ac:dyDescent="0.25">
      <c r="A290" s="2" t="str">
        <f>"4.1.1.00.10- Transf. financeira PBH"</f>
        <v>4.1.1.00.10- Transf. financeira PBH</v>
      </c>
      <c r="B290" s="10">
        <v>8921536.5500000007</v>
      </c>
      <c r="C290" s="10">
        <v>10300481.300000001</v>
      </c>
      <c r="D290" s="10">
        <v>19222017.850000001</v>
      </c>
    </row>
    <row r="291" spans="1:4" x14ac:dyDescent="0.25">
      <c r="A291" s="2" t="str">
        <f>"4.1.1.00.16- Multas transporte coletivo"</f>
        <v>4.1.1.00.16- Multas transporte coletivo</v>
      </c>
      <c r="B291" s="10">
        <v>516034.9</v>
      </c>
      <c r="C291" s="10">
        <v>95847.88</v>
      </c>
      <c r="D291" s="10">
        <v>611882.78</v>
      </c>
    </row>
    <row r="292" spans="1:4" x14ac:dyDescent="0.25">
      <c r="A292" s="2" t="str">
        <f>"4.1.1.00.17- Multas transporte publico"</f>
        <v>4.1.1.00.17- Multas transporte publico</v>
      </c>
      <c r="B292" s="10">
        <v>31196.959999999999</v>
      </c>
      <c r="C292" s="10">
        <v>11065.32</v>
      </c>
      <c r="D292" s="10">
        <v>42262.28</v>
      </c>
    </row>
    <row r="293" spans="1:4" x14ac:dyDescent="0.25">
      <c r="A293" s="2" t="str">
        <f>"4.1.1.00.19- Subconcessao frotas de taxi"</f>
        <v>4.1.1.00.19- Subconcessao frotas de taxi</v>
      </c>
      <c r="B293" s="10">
        <v>3670.13</v>
      </c>
      <c r="C293" s="10">
        <v>2068.15</v>
      </c>
      <c r="D293" s="10">
        <v>5738.28</v>
      </c>
    </row>
    <row r="294" spans="1:4" x14ac:dyDescent="0.25">
      <c r="A294" s="2" t="str">
        <f>"4.1.8.00.00- RECEITAS ALUGUEIS ESTACOES"</f>
        <v>4.1.8.00.00- RECEITAS ALUGUEIS ESTACOES</v>
      </c>
      <c r="B294" s="10">
        <v>69186.53</v>
      </c>
      <c r="C294" s="10">
        <v>37784.5</v>
      </c>
      <c r="D294" s="10">
        <v>106971.03</v>
      </c>
    </row>
    <row r="295" spans="1:4" x14ac:dyDescent="0.25">
      <c r="A295" s="2" t="str">
        <f>"4.1.8.00.01- Alugueis Estacoes"</f>
        <v>4.1.8.00.01- Alugueis Estacoes</v>
      </c>
      <c r="B295" s="10">
        <v>69186.53</v>
      </c>
      <c r="C295" s="10">
        <v>37784.5</v>
      </c>
      <c r="D295" s="10">
        <v>106971.03</v>
      </c>
    </row>
    <row r="296" spans="1:4" x14ac:dyDescent="0.25">
      <c r="A296" s="2" t="str">
        <f>"4.2.0.00.00- RECEITAS FINANCEIRAS"</f>
        <v>4.2.0.00.00- RECEITAS FINANCEIRAS</v>
      </c>
      <c r="B296" s="10">
        <v>19597.310000000001</v>
      </c>
      <c r="C296" s="10">
        <v>16695.5</v>
      </c>
      <c r="D296" s="10">
        <v>36292.81</v>
      </c>
    </row>
    <row r="297" spans="1:4" x14ac:dyDescent="0.25">
      <c r="A297" s="2" t="str">
        <f>"4.2.1.00.00- RECEITAS FINANCEIRAS"</f>
        <v>4.2.1.00.00- RECEITAS FINANCEIRAS</v>
      </c>
      <c r="B297" s="10">
        <v>19535.47</v>
      </c>
      <c r="C297" s="10">
        <v>16645.38</v>
      </c>
      <c r="D297" s="10">
        <v>36180.85</v>
      </c>
    </row>
    <row r="298" spans="1:4" x14ac:dyDescent="0.25">
      <c r="A298" s="2" t="str">
        <f>"4.2.1.00.01- Rendimentos aplic. Financeira"</f>
        <v>4.2.1.00.01- Rendimentos aplic. Financeira</v>
      </c>
      <c r="B298" s="10">
        <v>19149.849999999999</v>
      </c>
      <c r="C298" s="10">
        <v>16645.38</v>
      </c>
      <c r="D298" s="10">
        <v>35795.230000000003</v>
      </c>
    </row>
    <row r="299" spans="1:4" x14ac:dyDescent="0.25">
      <c r="A299" s="2" t="str">
        <f>"4.2.1.00.02- Juros ativos"</f>
        <v>4.2.1.00.02- Juros ativos</v>
      </c>
      <c r="B299" s="10">
        <v>385.62</v>
      </c>
      <c r="C299" s="10">
        <v>0</v>
      </c>
      <c r="D299" s="10">
        <v>385.62</v>
      </c>
    </row>
    <row r="300" spans="1:4" x14ac:dyDescent="0.25">
      <c r="A300" s="2" t="str">
        <f>"4.2.2.00.00- VARIACOES MONETARIAS ATIVAS"</f>
        <v>4.2.2.00.00- VARIACOES MONETARIAS ATIVAS</v>
      </c>
      <c r="B300" s="10">
        <v>61.84</v>
      </c>
      <c r="C300" s="10">
        <v>50.12</v>
      </c>
      <c r="D300" s="10">
        <v>111.96</v>
      </c>
    </row>
    <row r="301" spans="1:4" x14ac:dyDescent="0.25">
      <c r="A301" s="2" t="str">
        <f>"4.2.2.00.01- Variações monetárias ativas"</f>
        <v>4.2.2.00.01- Variações monetárias ativas</v>
      </c>
      <c r="B301" s="10">
        <v>61.84</v>
      </c>
      <c r="C301" s="10">
        <v>50.12</v>
      </c>
      <c r="D301" s="10">
        <v>111.96</v>
      </c>
    </row>
    <row r="302" spans="1:4" x14ac:dyDescent="0.25">
      <c r="A302" s="2" t="str">
        <f>"4.3.0.00.00- OUTRAS RECEITAS"</f>
        <v>4.3.0.00.00- OUTRAS RECEITAS</v>
      </c>
      <c r="B302" s="10">
        <v>133328.53</v>
      </c>
      <c r="C302" s="10">
        <v>298541.38</v>
      </c>
      <c r="D302" s="10">
        <v>431869.91</v>
      </c>
    </row>
    <row r="303" spans="1:4" x14ac:dyDescent="0.25">
      <c r="A303" s="2" t="str">
        <f>"4.3.1.00.00- OUTRAS RECEITAS"</f>
        <v>4.3.1.00.00- OUTRAS RECEITAS</v>
      </c>
      <c r="B303" s="10">
        <v>133328.53</v>
      </c>
      <c r="C303" s="10">
        <v>298541.38</v>
      </c>
      <c r="D303" s="10">
        <v>431869.91</v>
      </c>
    </row>
    <row r="304" spans="1:4" x14ac:dyDescent="0.25">
      <c r="A304" s="2" t="str">
        <f>"4.3.1.00.04- Receitas Diversas"</f>
        <v>4.3.1.00.04- Receitas Diversas</v>
      </c>
      <c r="B304" s="10">
        <v>133328.53</v>
      </c>
      <c r="C304" s="10">
        <v>232399.21</v>
      </c>
      <c r="D304" s="10">
        <v>365727.74</v>
      </c>
    </row>
    <row r="305" spans="1:4" x14ac:dyDescent="0.25">
      <c r="A305" s="2" t="str">
        <f>"4.3.1.00.07- Concessão de Abrigo de ônibus"</f>
        <v>4.3.1.00.07- Concessão de Abrigo de ônibus</v>
      </c>
      <c r="B305" s="10">
        <v>0</v>
      </c>
      <c r="C305" s="10">
        <v>66142.17</v>
      </c>
      <c r="D305" s="10">
        <v>66142.17</v>
      </c>
    </row>
    <row r="306" spans="1:4" x14ac:dyDescent="0.25">
      <c r="A306" s="2" t="str">
        <f>""</f>
        <v/>
      </c>
      <c r="B306" s="3" t="str">
        <f>""</f>
        <v/>
      </c>
      <c r="C306" s="3" t="str">
        <f>""</f>
        <v/>
      </c>
      <c r="D306" s="3" t="str">
        <f>""</f>
        <v/>
      </c>
    </row>
    <row r="307" spans="1:4" x14ac:dyDescent="0.25">
      <c r="A307" s="2" t="str">
        <f>""</f>
        <v/>
      </c>
      <c r="B307" s="3" t="str">
        <f>""</f>
        <v/>
      </c>
      <c r="C307" s="3" t="str">
        <f>""</f>
        <v/>
      </c>
      <c r="D307" s="3" t="str">
        <f>""</f>
        <v/>
      </c>
    </row>
    <row r="308" spans="1:4" x14ac:dyDescent="0.25">
      <c r="A308" s="2" t="str">
        <f>""</f>
        <v/>
      </c>
      <c r="B308" s="3" t="str">
        <f>""</f>
        <v/>
      </c>
      <c r="C308" s="3" t="str">
        <f>""</f>
        <v/>
      </c>
      <c r="D308" s="3" t="str">
        <f>""</f>
        <v/>
      </c>
    </row>
    <row r="309" spans="1:4" x14ac:dyDescent="0.25">
      <c r="A309" s="2" t="str">
        <f>""</f>
        <v/>
      </c>
      <c r="B309" s="3" t="str">
        <f>""</f>
        <v/>
      </c>
      <c r="C309" s="3" t="str">
        <f>""</f>
        <v/>
      </c>
      <c r="D309" s="3" t="str">
        <f>""</f>
        <v/>
      </c>
    </row>
    <row r="310" spans="1:4" x14ac:dyDescent="0.25">
      <c r="A310" s="2" t="str">
        <f>""</f>
        <v/>
      </c>
      <c r="B310" s="3" t="str">
        <f>""</f>
        <v/>
      </c>
      <c r="C310" s="3" t="str">
        <f>""</f>
        <v/>
      </c>
      <c r="D310" s="3" t="str">
        <f>""</f>
        <v/>
      </c>
    </row>
    <row r="311" spans="1:4" x14ac:dyDescent="0.25">
      <c r="A311" s="2" t="str">
        <f>""</f>
        <v/>
      </c>
      <c r="B311" s="3" t="str">
        <f>""</f>
        <v/>
      </c>
      <c r="C311" s="3" t="str">
        <f>""</f>
        <v/>
      </c>
      <c r="D311" s="3" t="str">
        <f>""</f>
        <v/>
      </c>
    </row>
    <row r="312" spans="1:4" x14ac:dyDescent="0.25">
      <c r="A312" s="2" t="str">
        <f>""</f>
        <v/>
      </c>
      <c r="B312" s="3" t="str">
        <f>""</f>
        <v/>
      </c>
      <c r="C312" s="3" t="str">
        <f>""</f>
        <v/>
      </c>
      <c r="D312" s="3" t="str">
        <f>""</f>
        <v/>
      </c>
    </row>
    <row r="313" spans="1:4" x14ac:dyDescent="0.25">
      <c r="A313" s="2" t="str">
        <f>""</f>
        <v/>
      </c>
      <c r="B313" s="3" t="str">
        <f>""</f>
        <v/>
      </c>
      <c r="C313" s="3" t="str">
        <f>""</f>
        <v/>
      </c>
      <c r="D313" s="3" t="str">
        <f>""</f>
        <v/>
      </c>
    </row>
    <row r="314" spans="1:4" x14ac:dyDescent="0.25">
      <c r="A314" s="2" t="str">
        <f>""</f>
        <v/>
      </c>
      <c r="B314" s="3" t="str">
        <f>""</f>
        <v/>
      </c>
      <c r="C314" s="3" t="str">
        <f>""</f>
        <v/>
      </c>
      <c r="D314" s="3" t="str">
        <f>""</f>
        <v/>
      </c>
    </row>
    <row r="315" spans="1:4" x14ac:dyDescent="0.25">
      <c r="A315" s="2" t="str">
        <f>""</f>
        <v/>
      </c>
      <c r="B315" s="3" t="str">
        <f>""</f>
        <v/>
      </c>
      <c r="C315" s="3" t="str">
        <f>""</f>
        <v/>
      </c>
      <c r="D315" s="3" t="str">
        <f>""</f>
        <v/>
      </c>
    </row>
    <row r="316" spans="1:4" x14ac:dyDescent="0.25">
      <c r="A316" s="2" t="str">
        <f>""</f>
        <v/>
      </c>
      <c r="B316" s="3" t="str">
        <f>""</f>
        <v/>
      </c>
      <c r="C316" s="3" t="str">
        <f>""</f>
        <v/>
      </c>
      <c r="D316" s="3" t="str">
        <f>""</f>
        <v/>
      </c>
    </row>
    <row r="317" spans="1:4" x14ac:dyDescent="0.25">
      <c r="A317" s="2" t="str">
        <f>""</f>
        <v/>
      </c>
      <c r="B317" s="3" t="str">
        <f>""</f>
        <v/>
      </c>
      <c r="C317" s="3" t="str">
        <f>""</f>
        <v/>
      </c>
      <c r="D317" s="3" t="str">
        <f>""</f>
        <v/>
      </c>
    </row>
    <row r="318" spans="1:4" x14ac:dyDescent="0.25">
      <c r="A318" s="2" t="str">
        <f>""</f>
        <v/>
      </c>
      <c r="B318" s="3" t="str">
        <f>""</f>
        <v/>
      </c>
      <c r="C318" s="3" t="str">
        <f>""</f>
        <v/>
      </c>
      <c r="D318" s="3" t="str">
        <f>""</f>
        <v/>
      </c>
    </row>
    <row r="319" spans="1:4" x14ac:dyDescent="0.25">
      <c r="A319" s="2" t="str">
        <f>""</f>
        <v/>
      </c>
      <c r="B319" s="3" t="str">
        <f>""</f>
        <v/>
      </c>
      <c r="C319" s="3" t="str">
        <f>""</f>
        <v/>
      </c>
      <c r="D319" s="3" t="str">
        <f>""</f>
        <v/>
      </c>
    </row>
    <row r="320" spans="1:4" x14ac:dyDescent="0.25">
      <c r="A320" s="2" t="str">
        <f>""</f>
        <v/>
      </c>
      <c r="B320" s="3" t="str">
        <f>""</f>
        <v/>
      </c>
      <c r="C320" s="3" t="str">
        <f>""</f>
        <v/>
      </c>
      <c r="D320" s="3" t="str">
        <f>""</f>
        <v/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ht="15.75" thickBot="1" x14ac:dyDescent="0.3">
      <c r="A330" s="4" t="str">
        <f>"APURACAO DE RESULTADOS"</f>
        <v>APURACAO DE RESULTADOS</v>
      </c>
      <c r="B330" s="5" t="str">
        <f>""</f>
        <v/>
      </c>
      <c r="C330" s="5" t="str">
        <f>""</f>
        <v/>
      </c>
      <c r="D330" s="5" t="str">
        <f>""</f>
        <v/>
      </c>
    </row>
    <row r="331" spans="1:4" x14ac:dyDescent="0.25">
      <c r="A331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6"/>
  <sheetViews>
    <sheetView workbookViewId="0">
      <selection activeCell="D1" sqref="D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7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37523809.549999997</v>
      </c>
      <c r="C4" s="10">
        <v>2109993.41</v>
      </c>
      <c r="D4" s="10">
        <v>39633802.960000001</v>
      </c>
    </row>
    <row r="5" spans="1:4" x14ac:dyDescent="0.25">
      <c r="A5" s="2" t="str">
        <f>"1.1.0.00.00- ATIVO CIRCULANTE"</f>
        <v>1.1.0.00.00- ATIVO CIRCULANTE</v>
      </c>
      <c r="B5" s="10">
        <v>17647521.25</v>
      </c>
      <c r="C5" s="10">
        <v>1606735.28</v>
      </c>
      <c r="D5" s="10">
        <v>19254256.530000001</v>
      </c>
    </row>
    <row r="6" spans="1:4" x14ac:dyDescent="0.25">
      <c r="A6" s="2" t="str">
        <f>"1.1.1.00.00- DISPONIVEL"</f>
        <v>1.1.1.00.00- DISPONIVEL</v>
      </c>
      <c r="B6" s="10">
        <v>7584438.3499999996</v>
      </c>
      <c r="C6" s="10">
        <v>1412815.26</v>
      </c>
      <c r="D6" s="10">
        <v>8997253.6099999994</v>
      </c>
    </row>
    <row r="7" spans="1:4" x14ac:dyDescent="0.25">
      <c r="A7" s="2" t="str">
        <f>"1.1.1.01.00- CAIXA GERAL"</f>
        <v>1.1.1.01.00- CAIXA GERAL</v>
      </c>
      <c r="B7" s="10">
        <v>0</v>
      </c>
      <c r="C7" s="10">
        <v>1600</v>
      </c>
      <c r="D7" s="10">
        <v>1600</v>
      </c>
    </row>
    <row r="8" spans="1:4" x14ac:dyDescent="0.25">
      <c r="A8" s="2" t="str">
        <f>"1.1.1.01.04- Caixa - Georf"</f>
        <v>1.1.1.01.04- Caixa - Georf</v>
      </c>
      <c r="B8" s="10">
        <v>0</v>
      </c>
      <c r="C8" s="10">
        <v>520</v>
      </c>
      <c r="D8" s="10">
        <v>520</v>
      </c>
    </row>
    <row r="9" spans="1:4" x14ac:dyDescent="0.25">
      <c r="A9" s="2" t="str">
        <f>"1.1.1.01.08- Caixa - AJU"</f>
        <v>1.1.1.01.08- Caixa - AJU</v>
      </c>
      <c r="B9" s="10">
        <v>0</v>
      </c>
      <c r="C9" s="10">
        <v>480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0</v>
      </c>
      <c r="C10" s="10">
        <v>600</v>
      </c>
      <c r="D10" s="10">
        <v>600</v>
      </c>
    </row>
    <row r="11" spans="1:4" x14ac:dyDescent="0.25">
      <c r="A11" s="2" t="str">
        <f>"1.1.1.02.00- BANCOS C/MOVIMENTO"</f>
        <v>1.1.1.02.00- BANCOS C/MOVIMENTO</v>
      </c>
      <c r="B11" s="10">
        <v>447606.42</v>
      </c>
      <c r="C11" s="10">
        <v>-230032.85</v>
      </c>
      <c r="D11" s="10">
        <v>217573.57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1022.99</v>
      </c>
      <c r="C12" s="10">
        <v>-531.92999999999995</v>
      </c>
      <c r="D12" s="10">
        <v>491.06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22209.8</v>
      </c>
      <c r="C13" s="10">
        <v>-6241.58</v>
      </c>
      <c r="D13" s="10">
        <v>15968.22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4000.65</v>
      </c>
      <c r="C14" s="10">
        <v>-4000.65</v>
      </c>
      <c r="D14" s="10">
        <v>0</v>
      </c>
    </row>
    <row r="15" spans="1:4" x14ac:dyDescent="0.25">
      <c r="A15" s="2" t="str">
        <f>"1.1.1.02.32- Caixa Econômica Federal - 3292-3 Leilão"</f>
        <v>1.1.1.02.32- Caixa Econômica Federal - 3292-3 Leilão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1132.26</v>
      </c>
      <c r="C17" s="10">
        <v>0</v>
      </c>
      <c r="D17" s="10">
        <v>1132.26</v>
      </c>
    </row>
    <row r="18" spans="1:4" x14ac:dyDescent="0.25">
      <c r="A18" s="2" t="str">
        <f>"1.1.1.02.40- Caixa Econômica Federal - 3302-4 Mídia"</f>
        <v>1.1.1.02.40- Caixa Econômica Federal - 3302-4 Mídia</v>
      </c>
      <c r="B18" s="10">
        <v>56787.13</v>
      </c>
      <c r="C18" s="10">
        <v>-6567</v>
      </c>
      <c r="D18" s="10">
        <v>50220.13</v>
      </c>
    </row>
    <row r="19" spans="1:4" x14ac:dyDescent="0.25">
      <c r="A19" s="2" t="str">
        <f>"1.1.1.02.41- Caixa Econômica Federal - 3303-2Rotativo"</f>
        <v>1.1.1.02.41- Caixa Econômica Federal - 3303-2Rotativo</v>
      </c>
      <c r="B19" s="10">
        <v>352923.59</v>
      </c>
      <c r="C19" s="10">
        <v>-218235.69</v>
      </c>
      <c r="D19" s="10">
        <v>134687.9</v>
      </c>
    </row>
    <row r="20" spans="1:4" x14ac:dyDescent="0.25">
      <c r="A20" s="2" t="str">
        <f>"1.1.1.02.46- Caixa Econômica Federal - 3309-1 Rot int"</f>
        <v>1.1.1.02.46- Caixa Econômica Federal - 3309-1 Rot int</v>
      </c>
      <c r="B20" s="10">
        <v>9328</v>
      </c>
      <c r="C20" s="10">
        <v>5544</v>
      </c>
      <c r="D20" s="10">
        <v>14872</v>
      </c>
    </row>
    <row r="21" spans="1:4" x14ac:dyDescent="0.25">
      <c r="A21" s="2" t="str">
        <f>"1.1.1.02.51- Caixa Econômica Federal -3501-9Leillão17"</f>
        <v>1.1.1.02.51- Caixa Econômica Federal -3501-9Leillão17</v>
      </c>
      <c r="B21" s="10">
        <v>42</v>
      </c>
      <c r="C21" s="10">
        <v>0</v>
      </c>
      <c r="D21" s="10">
        <v>42</v>
      </c>
    </row>
    <row r="22" spans="1:4" x14ac:dyDescent="0.25">
      <c r="A22" s="2" t="str">
        <f>"1.1.1.03.00- APLICACOES FINANCEIRAS"</f>
        <v>1.1.1.03.00- APLICACOES FINANCEIRAS</v>
      </c>
      <c r="B22" s="10">
        <v>4721873.17</v>
      </c>
      <c r="C22" s="10">
        <v>1673493.98</v>
      </c>
      <c r="D22" s="10">
        <v>6395367.1500000004</v>
      </c>
    </row>
    <row r="23" spans="1:4" x14ac:dyDescent="0.25">
      <c r="A23" s="2" t="str">
        <f>"1.1.1.03.23- Caixa Econômica Federal - 3291-5"</f>
        <v>1.1.1.03.23- Caixa Econômica Federal - 3291-5</v>
      </c>
      <c r="B23" s="10">
        <v>3364097.37</v>
      </c>
      <c r="C23" s="10">
        <v>1668525.02</v>
      </c>
      <c r="D23" s="10">
        <v>5032622.3899999997</v>
      </c>
    </row>
    <row r="24" spans="1:4" x14ac:dyDescent="0.25">
      <c r="A24" s="2" t="str">
        <f>"1.1.1.03.25- Caixa Econômica Federal - 3292-3 Leilão"</f>
        <v>1.1.1.03.25- Caixa Econômica Federal - 3292-3 Leilão</v>
      </c>
      <c r="B24" s="10">
        <v>72942.98</v>
      </c>
      <c r="C24" s="10">
        <v>363.79</v>
      </c>
      <c r="D24" s="10">
        <v>73306.77</v>
      </c>
    </row>
    <row r="25" spans="1:4" x14ac:dyDescent="0.25">
      <c r="A25" s="2" t="str">
        <f>"1.1.1.03.26- Caixa Econômica Federal - 3295-8Leilão13"</f>
        <v>1.1.1.03.26- Caixa Econômica Federal - 3295-8Leilão13</v>
      </c>
      <c r="B25" s="10">
        <v>199766.75</v>
      </c>
      <c r="C25" s="10">
        <v>996.3</v>
      </c>
      <c r="D25" s="10">
        <v>200763.05</v>
      </c>
    </row>
    <row r="26" spans="1:4" x14ac:dyDescent="0.25">
      <c r="A26" s="2" t="str">
        <f>"1.1.1.03.29- Caixa Econômica Federal - 3298-2Leilão15"</f>
        <v>1.1.1.03.29- Caixa Econômica Federal - 3298-2Leilão15</v>
      </c>
      <c r="B26" s="10">
        <v>99799.4</v>
      </c>
      <c r="C26" s="10">
        <v>422.61</v>
      </c>
      <c r="D26" s="10">
        <v>100222.01</v>
      </c>
    </row>
    <row r="27" spans="1:4" x14ac:dyDescent="0.25">
      <c r="A27" s="2" t="str">
        <f>"1.1.1.03.30- Caixa Econômica Federal - 3299-0Leilão16"</f>
        <v>1.1.1.03.30- Caixa Econômica Federal - 3299-0Leilão16</v>
      </c>
      <c r="B27" s="10">
        <v>125652.8</v>
      </c>
      <c r="C27" s="10">
        <v>626.66999999999996</v>
      </c>
      <c r="D27" s="10">
        <v>126279.47</v>
      </c>
    </row>
    <row r="28" spans="1:4" x14ac:dyDescent="0.25">
      <c r="A28" s="2" t="str">
        <f>"1.1.1.03.31- Caixa Econômica Federal - 3300-8Leilão16"</f>
        <v>1.1.1.03.31- Caixa Econômica Federal - 3300-8Leilão16</v>
      </c>
      <c r="B28" s="10">
        <v>45090.81</v>
      </c>
      <c r="C28" s="10">
        <v>190.94</v>
      </c>
      <c r="D28" s="10">
        <v>45281.75</v>
      </c>
    </row>
    <row r="29" spans="1:4" x14ac:dyDescent="0.25">
      <c r="A29" s="2" t="str">
        <f>"1.1.1.03.32- Caixa Econômica - 3301-6 Mídia"</f>
        <v>1.1.1.03.32- Caixa Econômica - 3301-6 Mídia</v>
      </c>
      <c r="B29" s="10">
        <v>80889.59</v>
      </c>
      <c r="C29" s="10">
        <v>384.97</v>
      </c>
      <c r="D29" s="10">
        <v>81274.559999999998</v>
      </c>
    </row>
    <row r="30" spans="1:4" x14ac:dyDescent="0.25">
      <c r="A30" s="2" t="str">
        <f>"1.1.1.03.35- Caixa Econômica - 3304-0Caução"</f>
        <v>1.1.1.03.35- Caixa Econômica - 3304-0Caução</v>
      </c>
      <c r="B30" s="10">
        <v>428926.87</v>
      </c>
      <c r="C30" s="10">
        <v>1867.47</v>
      </c>
      <c r="D30" s="10">
        <v>430794.34</v>
      </c>
    </row>
    <row r="31" spans="1:4" x14ac:dyDescent="0.25">
      <c r="A31" s="2" t="str">
        <f>"1.1.1.03.36- Caixa Econômica - 3305-9Sucumb."</f>
        <v>1.1.1.03.36- Caixa Econômica - 3305-9Sucumb.</v>
      </c>
      <c r="B31" s="10">
        <v>4781.87</v>
      </c>
      <c r="C31" s="10">
        <v>19.05</v>
      </c>
      <c r="D31" s="10">
        <v>4800.92</v>
      </c>
    </row>
    <row r="32" spans="1:4" x14ac:dyDescent="0.25">
      <c r="A32" s="2" t="str">
        <f>"1.1.1.03.38- Caixa Econômica - 3308-3Leilão"</f>
        <v>1.1.1.03.38- Caixa Econômica - 3308-3Leilão</v>
      </c>
      <c r="B32" s="10">
        <v>2156.0500000000002</v>
      </c>
      <c r="C32" s="10">
        <v>8.59</v>
      </c>
      <c r="D32" s="10">
        <v>2164.64</v>
      </c>
    </row>
    <row r="33" spans="1:4" x14ac:dyDescent="0.25">
      <c r="A33" s="2" t="str">
        <f>"1.1.1.03.41- Caixa Econômica - 531-0 Aci moto poupanç"</f>
        <v>1.1.1.03.41- Caixa Econômica - 531-0 Aci moto poupanç</v>
      </c>
      <c r="B33" s="10">
        <v>4416.8999999999996</v>
      </c>
      <c r="C33" s="10">
        <v>0</v>
      </c>
      <c r="D33" s="10">
        <v>4416.8999999999996</v>
      </c>
    </row>
    <row r="34" spans="1:4" x14ac:dyDescent="0.25">
      <c r="A34" s="2" t="str">
        <f>"1.1.1.03.42- Caixa Econômica - 532-9 Acid Ped Poupanç"</f>
        <v>1.1.1.03.42- Caixa Econômica - 532-9 Acid Ped Poupanç</v>
      </c>
      <c r="B34" s="10">
        <v>88885.36</v>
      </c>
      <c r="C34" s="10">
        <v>-487.5</v>
      </c>
      <c r="D34" s="10">
        <v>88397.86</v>
      </c>
    </row>
    <row r="35" spans="1:4" x14ac:dyDescent="0.25">
      <c r="A35" s="2" t="str">
        <f>"1.1.1.03.43- Caixa Econômica - 534-5 Codemig Poupança"</f>
        <v>1.1.1.03.43- Caixa Econômica - 534-5 Codemig Poupança</v>
      </c>
      <c r="B35" s="10">
        <v>25711.68</v>
      </c>
      <c r="C35" s="10">
        <v>0</v>
      </c>
      <c r="D35" s="10">
        <v>25711.68</v>
      </c>
    </row>
    <row r="36" spans="1:4" x14ac:dyDescent="0.25">
      <c r="A36" s="2" t="str">
        <f>"1.1.1.03.44- Caixa Econômica - 535-3 Turblog Poupança"</f>
        <v>1.1.1.03.44- Caixa Econômica - 535-3 Turblog Poupança</v>
      </c>
      <c r="B36" s="10">
        <v>63248.12</v>
      </c>
      <c r="C36" s="10">
        <v>0</v>
      </c>
      <c r="D36" s="10">
        <v>63248.12</v>
      </c>
    </row>
    <row r="37" spans="1:4" x14ac:dyDescent="0.25">
      <c r="A37" s="2" t="str">
        <f>"1.1.1.03.45- Caixa Econômica Federal - 3393-8Leilão17"</f>
        <v>1.1.1.03.45- Caixa Econômica Federal - 3393-8Leilão17</v>
      </c>
      <c r="B37" s="10">
        <v>115358.14</v>
      </c>
      <c r="C37" s="10">
        <v>575.33000000000004</v>
      </c>
      <c r="D37" s="10">
        <v>115933.47</v>
      </c>
    </row>
    <row r="38" spans="1:4" x14ac:dyDescent="0.25">
      <c r="A38" s="2" t="str">
        <f>"1.1.1.03.46- Caixa Econômica Federal -3501-9Leillão17"</f>
        <v>1.1.1.03.46- Caixa Econômica Federal -3501-9Leillão17</v>
      </c>
      <c r="B38" s="10">
        <v>148.47999999999999</v>
      </c>
      <c r="C38" s="10">
        <v>0.74</v>
      </c>
      <c r="D38" s="10">
        <v>149.22</v>
      </c>
    </row>
    <row r="39" spans="1:4" x14ac:dyDescent="0.25">
      <c r="A39" s="2" t="str">
        <f>"1.1.1.04.00- BANCOS C/VINCULADA-PAMEH"</f>
        <v>1.1.1.04.00- BANCOS C/VINCULADA-PAMEH</v>
      </c>
      <c r="B39" s="10">
        <v>2414958.7599999998</v>
      </c>
      <c r="C39" s="10">
        <v>-32245.87</v>
      </c>
      <c r="D39" s="10">
        <v>2382712.89</v>
      </c>
    </row>
    <row r="40" spans="1:4" x14ac:dyDescent="0.25">
      <c r="A40" s="2" t="str">
        <f>"1.1.1.04.07- Caixa Econômica Federal - 3294-0"</f>
        <v>1.1.1.04.07- Caixa Econômica Federal - 3294-0</v>
      </c>
      <c r="B40" s="10">
        <v>600.01</v>
      </c>
      <c r="C40" s="10">
        <v>5706.26</v>
      </c>
      <c r="D40" s="10">
        <v>6306.27</v>
      </c>
    </row>
    <row r="41" spans="1:4" x14ac:dyDescent="0.25">
      <c r="A41" s="2" t="str">
        <f>"1.1.1.04.08- Caixa Econômica Federal - 3294-0 Aplic."</f>
        <v>1.1.1.04.08- Caixa Econômica Federal - 3294-0 Aplic.</v>
      </c>
      <c r="B41" s="10">
        <v>2414358.75</v>
      </c>
      <c r="C41" s="10">
        <v>-37952.129999999997</v>
      </c>
      <c r="D41" s="10">
        <v>2376406.62</v>
      </c>
    </row>
    <row r="42" spans="1:4" x14ac:dyDescent="0.25">
      <c r="A42" s="2" t="str">
        <f>"1.1.2.00.00- REALIZAVEL A CURTO PRAZO"</f>
        <v>1.1.2.00.00- REALIZAVEL A CURTO PRAZO</v>
      </c>
      <c r="B42" s="10">
        <v>10063082.9</v>
      </c>
      <c r="C42" s="10">
        <v>193920.02</v>
      </c>
      <c r="D42" s="10">
        <v>10257002.92</v>
      </c>
    </row>
    <row r="43" spans="1:4" x14ac:dyDescent="0.25">
      <c r="A43" s="2" t="str">
        <f>"1.1.2.01.00- CONTAS A RECEBER"</f>
        <v>1.1.2.01.00- CONTAS A RECEBER</v>
      </c>
      <c r="B43" s="10">
        <v>4970947.05</v>
      </c>
      <c r="C43" s="10">
        <v>327232.93</v>
      </c>
      <c r="D43" s="10">
        <v>5298179.9800000004</v>
      </c>
    </row>
    <row r="44" spans="1:4" x14ac:dyDescent="0.25">
      <c r="A44" s="2" t="str">
        <f>"1.1.2.01.89- Multas Transporte Coletivo"</f>
        <v>1.1.2.01.89- Multas Transporte Coletivo</v>
      </c>
      <c r="B44" s="10">
        <v>6007350.3399999999</v>
      </c>
      <c r="C44" s="10">
        <v>303710.34999999998</v>
      </c>
      <c r="D44" s="10">
        <v>6311060.6900000004</v>
      </c>
    </row>
    <row r="45" spans="1:4" x14ac:dyDescent="0.25">
      <c r="A45" s="2" t="str">
        <f>"1.1.2.01.94- Midia Onibus a Receber"</f>
        <v>1.1.2.01.94- Midia Onibus a Receber</v>
      </c>
      <c r="B45" s="10">
        <v>253567.34</v>
      </c>
      <c r="C45" s="10">
        <v>0</v>
      </c>
      <c r="D45" s="10">
        <v>253567.34</v>
      </c>
    </row>
    <row r="46" spans="1:4" x14ac:dyDescent="0.25">
      <c r="A46" s="2" t="str">
        <f>"1.1.2.01.98- Outras contas a receber"</f>
        <v>1.1.2.01.98- Outras contas a receber</v>
      </c>
      <c r="B46" s="10">
        <v>0</v>
      </c>
      <c r="C46" s="10">
        <v>53893.62</v>
      </c>
      <c r="D46" s="10">
        <v>53893.62</v>
      </c>
    </row>
    <row r="47" spans="1:4" x14ac:dyDescent="0.25">
      <c r="A47" s="2" t="str">
        <f>"1.1.2.01.99- (-) Provisao para Perdas"</f>
        <v>1.1.2.01.99- (-) Provisao para Perdas</v>
      </c>
      <c r="B47" s="10">
        <v>-1289970.6299999999</v>
      </c>
      <c r="C47" s="10">
        <v>-30371.040000000001</v>
      </c>
      <c r="D47" s="10">
        <v>-1320341.67</v>
      </c>
    </row>
    <row r="48" spans="1:4" x14ac:dyDescent="0.25">
      <c r="A48" s="2" t="str">
        <f>"1.1.2.04.00- CONVÊNIOS A RECEBER"</f>
        <v>1.1.2.04.00- CONVÊNIOS A RECEBER</v>
      </c>
      <c r="B48" s="10">
        <v>0</v>
      </c>
      <c r="C48" s="10">
        <v>6546.12</v>
      </c>
      <c r="D48" s="10">
        <v>6546.12</v>
      </c>
    </row>
    <row r="49" spans="1:4" x14ac:dyDescent="0.25">
      <c r="A49" s="2" t="str">
        <f>"1.1.2.04.99- Convenios cedidos a receber"</f>
        <v>1.1.2.04.99- Convenios cedidos a receber</v>
      </c>
      <c r="B49" s="10">
        <v>0</v>
      </c>
      <c r="C49" s="10">
        <v>6546.12</v>
      </c>
      <c r="D49" s="10">
        <v>6546.12</v>
      </c>
    </row>
    <row r="50" spans="1:4" x14ac:dyDescent="0.25">
      <c r="A50" s="2" t="str">
        <f>"1.1.2.06.00- ADIANTAMENTO A EMPREGADOS"</f>
        <v>1.1.2.06.00- ADIANTAMENTO A EMPREGADOS</v>
      </c>
      <c r="B50" s="10">
        <v>1886791.8</v>
      </c>
      <c r="C50" s="10">
        <v>-292882.39</v>
      </c>
      <c r="D50" s="10">
        <v>1593909.41</v>
      </c>
    </row>
    <row r="51" spans="1:4" x14ac:dyDescent="0.25">
      <c r="A51" s="2" t="str">
        <f>"1.1.2.06.01- Adiantamento de Ferias"</f>
        <v>1.1.2.06.01- Adiantamento de Ferias</v>
      </c>
      <c r="B51" s="10">
        <v>1056965.79</v>
      </c>
      <c r="C51" s="10">
        <v>-380467.43</v>
      </c>
      <c r="D51" s="10">
        <v>676498.36</v>
      </c>
    </row>
    <row r="52" spans="1:4" x14ac:dyDescent="0.25">
      <c r="A52" s="2" t="str">
        <f>"1.1.2.06.02- Adiantamento de 13. Salario"</f>
        <v>1.1.2.06.02- Adiantamento de 13. Salario</v>
      </c>
      <c r="B52" s="10">
        <v>526023.68999999994</v>
      </c>
      <c r="C52" s="10">
        <v>121553.3</v>
      </c>
      <c r="D52" s="10">
        <v>647576.99</v>
      </c>
    </row>
    <row r="53" spans="1:4" x14ac:dyDescent="0.25">
      <c r="A53" s="2" t="str">
        <f>"1.1.2.06.03- Adiant. de Salario/Parc. Ferias"</f>
        <v>1.1.2.06.03- Adiant. de Salario/Parc. Ferias</v>
      </c>
      <c r="B53" s="10">
        <v>134698.87</v>
      </c>
      <c r="C53" s="10">
        <v>-28054.94</v>
      </c>
      <c r="D53" s="10">
        <v>106643.93</v>
      </c>
    </row>
    <row r="54" spans="1:4" x14ac:dyDescent="0.25">
      <c r="A54" s="2" t="str">
        <f>"1.1.2.06.07- Adiantamento Pensao s/ Ferias"</f>
        <v>1.1.2.06.07- Adiantamento Pensao s/ Ferias</v>
      </c>
      <c r="B54" s="10">
        <v>169103.45</v>
      </c>
      <c r="C54" s="10">
        <v>-5913.32</v>
      </c>
      <c r="D54" s="10">
        <v>163190.13</v>
      </c>
    </row>
    <row r="55" spans="1:4" x14ac:dyDescent="0.25">
      <c r="A55" s="2" t="str">
        <f>"1.1.2.08.00- ALMOXARIFADO"</f>
        <v>1.1.2.08.00- ALMOXARIFADO</v>
      </c>
      <c r="B55" s="10">
        <v>211822.24</v>
      </c>
      <c r="C55" s="10">
        <v>-7808.02</v>
      </c>
      <c r="D55" s="10">
        <v>204014.22</v>
      </c>
    </row>
    <row r="56" spans="1:4" x14ac:dyDescent="0.25">
      <c r="A56" s="2" t="str">
        <f>"1.1.2.08.01- Material em Estoque"</f>
        <v>1.1.2.08.01- Material em Estoque</v>
      </c>
      <c r="B56" s="10">
        <v>211822.24</v>
      </c>
      <c r="C56" s="10">
        <v>-7808.02</v>
      </c>
      <c r="D56" s="10">
        <v>204014.22</v>
      </c>
    </row>
    <row r="57" spans="1:4" x14ac:dyDescent="0.25">
      <c r="A57" s="2" t="str">
        <f>"1.1.2.10.00- IMPOSTOS E CONTRIB.A RECUPERAR"</f>
        <v>1.1.2.10.00- IMPOSTOS E CONTRIB.A RECUPERAR</v>
      </c>
      <c r="B57" s="10">
        <v>1914792.19</v>
      </c>
      <c r="C57" s="10">
        <v>1473.79</v>
      </c>
      <c r="D57" s="10">
        <v>1916265.98</v>
      </c>
    </row>
    <row r="58" spans="1:4" x14ac:dyDescent="0.25">
      <c r="A58" s="2" t="str">
        <f>"1.1.2.10.01- IR s/Aplicacao Financeira"</f>
        <v>1.1.2.10.01- IR s/Aplicacao Financeira</v>
      </c>
      <c r="B58" s="10">
        <v>534053.65</v>
      </c>
      <c r="C58" s="10">
        <v>1417.26</v>
      </c>
      <c r="D58" s="10">
        <v>535470.91</v>
      </c>
    </row>
    <row r="59" spans="1:4" x14ac:dyDescent="0.25">
      <c r="A59" s="2" t="str">
        <f>"1.1.2.10.08- IRRF a Compensar"</f>
        <v>1.1.2.10.08- IRRF a Compensar</v>
      </c>
      <c r="B59" s="10">
        <v>1454.99</v>
      </c>
      <c r="C59" s="10">
        <v>0</v>
      </c>
      <c r="D59" s="10">
        <v>1454.99</v>
      </c>
    </row>
    <row r="60" spans="1:4" x14ac:dyDescent="0.25">
      <c r="A60" s="2" t="str">
        <f>"1.1.2.10.15- Cofins a Compensar"</f>
        <v>1.1.2.10.15- Cofins a Compensar</v>
      </c>
      <c r="B60" s="10">
        <v>1039251.15</v>
      </c>
      <c r="C60" s="10">
        <v>0.01</v>
      </c>
      <c r="D60" s="10">
        <v>1039251.16</v>
      </c>
    </row>
    <row r="61" spans="1:4" x14ac:dyDescent="0.25">
      <c r="A61" s="2" t="str">
        <f>"1.1.2.10.16- PIS a Compensar"</f>
        <v>1.1.2.10.16- PIS a Compensar</v>
      </c>
      <c r="B61" s="10">
        <v>224393.95</v>
      </c>
      <c r="C61" s="10">
        <v>0.02</v>
      </c>
      <c r="D61" s="10">
        <v>224393.97</v>
      </c>
    </row>
    <row r="62" spans="1:4" x14ac:dyDescent="0.25">
      <c r="A62" s="2" t="str">
        <f>"1.1.2.10.20- V.M.A PIS a Recuperar"</f>
        <v>1.1.2.10.20- V.M.A PIS a Recuperar</v>
      </c>
      <c r="B62" s="10">
        <v>1440.06</v>
      </c>
      <c r="C62" s="10">
        <v>30.94</v>
      </c>
      <c r="D62" s="10">
        <v>1471</v>
      </c>
    </row>
    <row r="63" spans="1:4" x14ac:dyDescent="0.25">
      <c r="A63" s="2" t="str">
        <f>"1.1.2.10.21- V.M.A IRRF a Compensar"</f>
        <v>1.1.2.10.21- V.M.A IRRF a Compensar</v>
      </c>
      <c r="B63" s="10">
        <v>494.88</v>
      </c>
      <c r="C63" s="10">
        <v>7.7</v>
      </c>
      <c r="D63" s="10">
        <v>502.58</v>
      </c>
    </row>
    <row r="64" spans="1:4" x14ac:dyDescent="0.25">
      <c r="A64" s="2" t="str">
        <f>"1.1.2.10.22- V.M.A COFINS a Compensar"</f>
        <v>1.1.2.10.22- V.M.A COFINS a Compensar</v>
      </c>
      <c r="B64" s="10">
        <v>5439.74</v>
      </c>
      <c r="C64" s="10">
        <v>17.86</v>
      </c>
      <c r="D64" s="10">
        <v>5457.6</v>
      </c>
    </row>
    <row r="65" spans="1:4" x14ac:dyDescent="0.25">
      <c r="A65" s="2" t="str">
        <f>"1.1.2.10.25- INSS a recuperar segurados"</f>
        <v>1.1.2.10.25- INSS a recuperar segurados</v>
      </c>
      <c r="B65" s="10">
        <v>108263.77</v>
      </c>
      <c r="C65" s="10">
        <v>0</v>
      </c>
      <c r="D65" s="10">
        <v>108263.77</v>
      </c>
    </row>
    <row r="66" spans="1:4" x14ac:dyDescent="0.25">
      <c r="A66" s="2" t="str">
        <f>"1.1.2.11.00- DESPESAS ANTECIPADAS"</f>
        <v>1.1.2.11.00- DESPESAS ANTECIPADAS</v>
      </c>
      <c r="B66" s="10">
        <v>4651.6400000000003</v>
      </c>
      <c r="C66" s="10">
        <v>-680.19</v>
      </c>
      <c r="D66" s="10">
        <v>3971.45</v>
      </c>
    </row>
    <row r="67" spans="1:4" x14ac:dyDescent="0.25">
      <c r="A67" s="2" t="str">
        <f>"1.1.2.11.01- Premios de Seguros a Vencer"</f>
        <v>1.1.2.11.01- Premios de Seguros a Vencer</v>
      </c>
      <c r="B67" s="10">
        <v>4651.6400000000003</v>
      </c>
      <c r="C67" s="10">
        <v>-680.19</v>
      </c>
      <c r="D67" s="10">
        <v>3971.45</v>
      </c>
    </row>
    <row r="68" spans="1:4" x14ac:dyDescent="0.25">
      <c r="A68" s="2" t="str">
        <f>"1.1.2.12.00- VALORES VINC.A RECEBER-PAMEH"</f>
        <v>1.1.2.12.00- VALORES VINC.A RECEBER-PAMEH</v>
      </c>
      <c r="B68" s="10">
        <v>825784.63</v>
      </c>
      <c r="C68" s="10">
        <v>-34483.699999999997</v>
      </c>
      <c r="D68" s="10">
        <v>791300.93</v>
      </c>
    </row>
    <row r="69" spans="1:4" x14ac:dyDescent="0.25">
      <c r="A69" s="2" t="str">
        <f>"1.1.2.12.01- Valores Vinculados-PAMEH"</f>
        <v>1.1.2.12.01- Valores Vinculados-PAMEH</v>
      </c>
      <c r="B69" s="10">
        <v>825784.63</v>
      </c>
      <c r="C69" s="10">
        <v>-34483.699999999997</v>
      </c>
      <c r="D69" s="10">
        <v>791300.93</v>
      </c>
    </row>
    <row r="70" spans="1:4" x14ac:dyDescent="0.25">
      <c r="A70" s="2" t="str">
        <f>"1.1.2.14.00- CONTAS TRANSITORIAS - GRUPO ATIVO"</f>
        <v>1.1.2.14.00- CONTAS TRANSITORIAS - GRUPO ATIVO</v>
      </c>
      <c r="B70" s="10">
        <v>190096.31</v>
      </c>
      <c r="C70" s="10">
        <v>228013.93</v>
      </c>
      <c r="D70" s="10">
        <v>418110.24</v>
      </c>
    </row>
    <row r="71" spans="1:4" x14ac:dyDescent="0.25">
      <c r="A71" s="2" t="str">
        <f>"1.1.2.14.01- Transitoria de Fornecedores"</f>
        <v>1.1.2.14.01- Transitoria de Fornecedores</v>
      </c>
      <c r="B71" s="10">
        <v>-30243.599999999999</v>
      </c>
      <c r="C71" s="10">
        <v>34438.6</v>
      </c>
      <c r="D71" s="10">
        <v>4195</v>
      </c>
    </row>
    <row r="72" spans="1:4" x14ac:dyDescent="0.25">
      <c r="A72" s="2" t="str">
        <f>"1.1.2.14.02- Transitoria de Alteracao Patrimonial"</f>
        <v>1.1.2.14.02- Transitoria de Alteracao Patrimonial</v>
      </c>
      <c r="B72" s="10">
        <v>7300</v>
      </c>
      <c r="C72" s="10">
        <v>-9935</v>
      </c>
      <c r="D72" s="10">
        <v>-2635</v>
      </c>
    </row>
    <row r="73" spans="1:4" x14ac:dyDescent="0.25">
      <c r="A73" s="2" t="str">
        <f>"1.1.2.14.05- Transitoria Folha de Pagamento"</f>
        <v>1.1.2.14.05- Transitoria Folha de Pagamento</v>
      </c>
      <c r="B73" s="10">
        <v>213039.91</v>
      </c>
      <c r="C73" s="10">
        <v>203510.33</v>
      </c>
      <c r="D73" s="10">
        <v>416550.24</v>
      </c>
    </row>
    <row r="74" spans="1:4" x14ac:dyDescent="0.25">
      <c r="A74" s="2" t="str">
        <f>"1.1.2.15.00- CARNE ESTACIONAMENTO ROTATIVO"</f>
        <v>1.1.2.15.00- CARNE ESTACIONAMENTO ROTATIVO</v>
      </c>
      <c r="B74" s="10">
        <v>58197.04</v>
      </c>
      <c r="C74" s="10">
        <v>-33492.449999999997</v>
      </c>
      <c r="D74" s="10">
        <v>24704.59</v>
      </c>
    </row>
    <row r="75" spans="1:4" x14ac:dyDescent="0.25">
      <c r="A75" s="2" t="str">
        <f>"1.1.2.15.01- Carne Rotativo"</f>
        <v>1.1.2.15.01- Carne Rotativo</v>
      </c>
      <c r="B75" s="10">
        <v>58197.04</v>
      </c>
      <c r="C75" s="10">
        <v>-33492.449999999997</v>
      </c>
      <c r="D75" s="10">
        <v>24704.59</v>
      </c>
    </row>
    <row r="76" spans="1:4" x14ac:dyDescent="0.25">
      <c r="A76" s="2" t="str">
        <f>"1.2.0.00.00- ATIVO NAO CIRCULANTE"</f>
        <v>1.2.0.00.00- ATIVO NAO CIRCULANTE</v>
      </c>
      <c r="B76" s="10">
        <v>19876288.300000001</v>
      </c>
      <c r="C76" s="10">
        <v>503258.13</v>
      </c>
      <c r="D76" s="10">
        <v>20379546.43</v>
      </c>
    </row>
    <row r="77" spans="1:4" x14ac:dyDescent="0.25">
      <c r="A77" s="2" t="str">
        <f>"1.2.1.00.00- REALIZAVEL A LONGO PRAZO"</f>
        <v>1.2.1.00.00- REALIZAVEL A LONGO PRAZO</v>
      </c>
      <c r="B77" s="10">
        <v>17843435.93</v>
      </c>
      <c r="C77" s="10">
        <v>494978.17</v>
      </c>
      <c r="D77" s="10">
        <v>18338414.100000001</v>
      </c>
    </row>
    <row r="78" spans="1:4" x14ac:dyDescent="0.25">
      <c r="A78" s="2" t="str">
        <f>"1.2.1.01.00- CREDITOS E VALORES A RECEBER"</f>
        <v>1.2.1.01.00- CREDITOS E VALORES A RECEBER</v>
      </c>
      <c r="B78" s="10">
        <v>17843435.93</v>
      </c>
      <c r="C78" s="10">
        <v>494978.17</v>
      </c>
      <c r="D78" s="10">
        <v>18338414.100000001</v>
      </c>
    </row>
    <row r="79" spans="1:4" x14ac:dyDescent="0.25">
      <c r="A79" s="2" t="str">
        <f>"1.2.1.01.01- Depositos Judiciais"</f>
        <v>1.2.1.01.01- Depositos Judiciais</v>
      </c>
      <c r="B79" s="10">
        <v>5327980.95</v>
      </c>
      <c r="C79" s="10">
        <v>494978.17</v>
      </c>
      <c r="D79" s="10">
        <v>5822959.1200000001</v>
      </c>
    </row>
    <row r="80" spans="1:4" x14ac:dyDescent="0.25">
      <c r="A80" s="2" t="str">
        <f>"1.2.1.01.03- Depositos Judiciais de Terceiros"</f>
        <v>1.2.1.01.03- Depositos Judiciais de Terceiros</v>
      </c>
      <c r="B80" s="10">
        <v>925087.39</v>
      </c>
      <c r="C80" s="10">
        <v>0</v>
      </c>
      <c r="D80" s="10">
        <v>925087.39</v>
      </c>
    </row>
    <row r="81" spans="1:4" x14ac:dyDescent="0.25">
      <c r="A81" s="2" t="str">
        <f>"1.2.1.01.04- Convenio Prefeitura Betim"</f>
        <v>1.2.1.01.04- Convenio Prefeitura Betim</v>
      </c>
      <c r="B81" s="10">
        <v>891.18</v>
      </c>
      <c r="C81" s="10">
        <v>0</v>
      </c>
      <c r="D81" s="10">
        <v>891.18</v>
      </c>
    </row>
    <row r="82" spans="1:4" x14ac:dyDescent="0.25">
      <c r="A82" s="2" t="str">
        <f>"1.2.1.01.05- Convenio IPSEMG"</f>
        <v>1.2.1.01.05- Convenio IPSEMG</v>
      </c>
      <c r="B82" s="10">
        <v>21163.53</v>
      </c>
      <c r="C82" s="10">
        <v>0</v>
      </c>
      <c r="D82" s="10">
        <v>21163.53</v>
      </c>
    </row>
    <row r="83" spans="1:4" x14ac:dyDescent="0.25">
      <c r="A83" s="2" t="str">
        <f>"1.2.1.01.06- Multas Transporte Coletivo"</f>
        <v>1.2.1.01.06- Multas Transporte Coletivo</v>
      </c>
      <c r="B83" s="10">
        <v>12853680.960000001</v>
      </c>
      <c r="C83" s="10">
        <v>0</v>
      </c>
      <c r="D83" s="10">
        <v>12853680.960000001</v>
      </c>
    </row>
    <row r="84" spans="1:4" x14ac:dyDescent="0.25">
      <c r="A84" s="2" t="str">
        <f>"1.2.1.01.07- (-) Provisao para Perdas"</f>
        <v>1.2.1.01.07- (-) Provisao para Perdas</v>
      </c>
      <c r="B84" s="10">
        <v>-1285368.08</v>
      </c>
      <c r="C84" s="10">
        <v>0</v>
      </c>
      <c r="D84" s="10">
        <v>-1285368.08</v>
      </c>
    </row>
    <row r="85" spans="1:4" x14ac:dyDescent="0.25">
      <c r="A85" s="2" t="str">
        <f>"1.3.1.00.00- INVESTIMENTOS"</f>
        <v>1.3.1.00.00- INVESTIMENTOS</v>
      </c>
      <c r="B85" s="10">
        <v>26070</v>
      </c>
      <c r="C85" s="10">
        <v>0</v>
      </c>
      <c r="D85" s="10">
        <v>26070</v>
      </c>
    </row>
    <row r="86" spans="1:4" x14ac:dyDescent="0.25">
      <c r="A86" s="2" t="str">
        <f>"1.3.1.01.00- OUTROS INVESTIMENTOS"</f>
        <v>1.3.1.01.00- OUTROS INVESTIMENTOS</v>
      </c>
      <c r="B86" s="10">
        <v>26070</v>
      </c>
      <c r="C86" s="10">
        <v>0</v>
      </c>
      <c r="D86" s="10">
        <v>26070</v>
      </c>
    </row>
    <row r="87" spans="1:4" x14ac:dyDescent="0.25">
      <c r="A87" s="2" t="str">
        <f>"1.3.1.01.01- Obras de Arte"</f>
        <v>1.3.1.01.01- Obras de Arte</v>
      </c>
      <c r="B87" s="10">
        <v>25200</v>
      </c>
      <c r="C87" s="10">
        <v>0</v>
      </c>
      <c r="D87" s="10">
        <v>25200</v>
      </c>
    </row>
    <row r="88" spans="1:4" x14ac:dyDescent="0.25">
      <c r="A88" s="2" t="str">
        <f>"1.3.1.01.02- Participações Societárias - PBH ATIVOS"</f>
        <v>1.3.1.01.02- Participações Societárias - PBH ATIVOS</v>
      </c>
      <c r="B88" s="10">
        <v>870</v>
      </c>
      <c r="C88" s="10">
        <v>0</v>
      </c>
      <c r="D88" s="10">
        <v>870</v>
      </c>
    </row>
    <row r="89" spans="1:4" x14ac:dyDescent="0.25">
      <c r="A89" s="2" t="str">
        <f>"1.3.2.00.00- IMOBILIZADO"</f>
        <v>1.3.2.00.00- IMOBILIZADO</v>
      </c>
      <c r="B89" s="10">
        <v>7724415.25</v>
      </c>
      <c r="C89" s="10">
        <v>29200</v>
      </c>
      <c r="D89" s="10">
        <v>7753615.25</v>
      </c>
    </row>
    <row r="90" spans="1:4" x14ac:dyDescent="0.25">
      <c r="A90" s="2" t="str">
        <f>"1.3.2.01.01- Maquinas e equipamentos"</f>
        <v>1.3.2.01.01- Maquinas e equipamentos</v>
      </c>
      <c r="B90" s="10">
        <v>241624.95999999999</v>
      </c>
      <c r="C90" s="10">
        <v>0</v>
      </c>
      <c r="D90" s="10">
        <v>241624.95999999999</v>
      </c>
    </row>
    <row r="91" spans="1:4" x14ac:dyDescent="0.25">
      <c r="A91" s="2" t="str">
        <f>"1.3.2.02.01- Ferramentas"</f>
        <v>1.3.2.02.01- Ferramentas</v>
      </c>
      <c r="B91" s="10">
        <v>9104.81</v>
      </c>
      <c r="C91" s="10">
        <v>0</v>
      </c>
      <c r="D91" s="10">
        <v>9104.81</v>
      </c>
    </row>
    <row r="92" spans="1:4" x14ac:dyDescent="0.25">
      <c r="A92" s="2" t="str">
        <f>"1.3.2.03.01- Equipamentos de comunicacao"</f>
        <v>1.3.2.03.01- Equipamentos de comunicacao</v>
      </c>
      <c r="B92" s="10">
        <v>172167.01</v>
      </c>
      <c r="C92" s="10">
        <v>0</v>
      </c>
      <c r="D92" s="10">
        <v>172167.01</v>
      </c>
    </row>
    <row r="93" spans="1:4" x14ac:dyDescent="0.25">
      <c r="A93" s="2" t="str">
        <f>"1.3.2.04.01- Instalacoes"</f>
        <v>1.3.2.04.01- Instalacoes</v>
      </c>
      <c r="B93" s="10">
        <v>85222.9</v>
      </c>
      <c r="C93" s="10">
        <v>0</v>
      </c>
      <c r="D93" s="10">
        <v>85222.9</v>
      </c>
    </row>
    <row r="94" spans="1:4" x14ac:dyDescent="0.25">
      <c r="A94" s="2" t="str">
        <f>"1.3.2.06.01- Moveis e utensilios"</f>
        <v>1.3.2.06.01- Moveis e utensilios</v>
      </c>
      <c r="B94" s="10">
        <v>541731.43999999994</v>
      </c>
      <c r="C94" s="10">
        <v>0</v>
      </c>
      <c r="D94" s="10">
        <v>541731.43999999994</v>
      </c>
    </row>
    <row r="95" spans="1:4" x14ac:dyDescent="0.25">
      <c r="A95" s="2" t="str">
        <f>"1.3.2.08.01- Instalacoes administrativas"</f>
        <v>1.3.2.08.01- Instalacoes administrativas</v>
      </c>
      <c r="B95" s="10">
        <v>99146.34</v>
      </c>
      <c r="C95" s="10">
        <v>0</v>
      </c>
      <c r="D95" s="10">
        <v>99146.34</v>
      </c>
    </row>
    <row r="96" spans="1:4" x14ac:dyDescent="0.25">
      <c r="A96" s="2" t="str">
        <f>"1.3.2.09.01- Aparelhos/equipamentos diversos"</f>
        <v>1.3.2.09.01- Aparelhos/equipamentos diversos</v>
      </c>
      <c r="B96" s="10">
        <v>617255.13</v>
      </c>
      <c r="C96" s="10">
        <v>29200</v>
      </c>
      <c r="D96" s="10">
        <v>646455.13</v>
      </c>
    </row>
    <row r="97" spans="1:4" x14ac:dyDescent="0.25">
      <c r="A97" s="2" t="str">
        <f>"1.3.2.10.01- Equip. p/ processamento de dados"</f>
        <v>1.3.2.10.01- Equip. p/ processamento de dados</v>
      </c>
      <c r="B97" s="10">
        <v>1550246.6</v>
      </c>
      <c r="C97" s="10">
        <v>0</v>
      </c>
      <c r="D97" s="10">
        <v>1550246.6</v>
      </c>
    </row>
    <row r="98" spans="1:4" x14ac:dyDescent="0.25">
      <c r="A98" s="2" t="str">
        <f>"1.3.2.12.01- Micros/impressoras e acessorios"</f>
        <v>1.3.2.12.01- Micros/impressoras e acessorios</v>
      </c>
      <c r="B98" s="10">
        <v>2690531.68</v>
      </c>
      <c r="C98" s="10">
        <v>0</v>
      </c>
      <c r="D98" s="10">
        <v>2690531.68</v>
      </c>
    </row>
    <row r="99" spans="1:4" x14ac:dyDescent="0.25">
      <c r="A99" s="2" t="str">
        <f>"1.3.2.13.01- Imobilizacao em imoveis de terceiros"</f>
        <v>1.3.2.13.01- Imobilizacao em imoveis de terceiros</v>
      </c>
      <c r="B99" s="10">
        <v>511539.98</v>
      </c>
      <c r="C99" s="10">
        <v>0</v>
      </c>
      <c r="D99" s="10">
        <v>511539.98</v>
      </c>
    </row>
    <row r="100" spans="1:4" x14ac:dyDescent="0.25">
      <c r="A100" s="2" t="str">
        <f>"1.3.2.14.01- Estacao Diamante"</f>
        <v>1.3.2.14.01- Estacao Diamante</v>
      </c>
      <c r="B100" s="10">
        <v>1162384.46</v>
      </c>
      <c r="C100" s="10">
        <v>0</v>
      </c>
      <c r="D100" s="10">
        <v>1162384.46</v>
      </c>
    </row>
    <row r="101" spans="1:4" x14ac:dyDescent="0.25">
      <c r="A101" s="2" t="str">
        <f>"1.3.2.15.00- IMOBILIZACOES EM ANDAMENTO"</f>
        <v>1.3.2.15.00- IMOBILIZACOES EM ANDAMENTO</v>
      </c>
      <c r="B101" s="10">
        <v>43459.94</v>
      </c>
      <c r="C101" s="10">
        <v>0</v>
      </c>
      <c r="D101" s="10">
        <v>43459.94</v>
      </c>
    </row>
    <row r="102" spans="1:4" x14ac:dyDescent="0.25">
      <c r="A102" s="2" t="str">
        <f>"1.3.2.15.01- Construcoes em Andamento"</f>
        <v>1.3.2.15.01- Construcoes em Andamento</v>
      </c>
      <c r="B102" s="10">
        <v>43459.94</v>
      </c>
      <c r="C102" s="10">
        <v>0</v>
      </c>
      <c r="D102" s="10">
        <v>43459.94</v>
      </c>
    </row>
    <row r="103" spans="1:4" x14ac:dyDescent="0.25">
      <c r="A103" s="2" t="str">
        <f>"1.3.3.00.00- INTANGIVEL"</f>
        <v>1.3.3.00.00- INTANGIVEL</v>
      </c>
      <c r="B103" s="10">
        <v>37558</v>
      </c>
      <c r="C103" s="10">
        <v>0</v>
      </c>
      <c r="D103" s="10">
        <v>37558</v>
      </c>
    </row>
    <row r="104" spans="1:4" x14ac:dyDescent="0.25">
      <c r="A104" s="2" t="str">
        <f>"1.3.3.04.01- Programas e Sistemas"</f>
        <v>1.3.3.04.01- Programas e Sistemas</v>
      </c>
      <c r="B104" s="10">
        <v>37558</v>
      </c>
      <c r="C104" s="10">
        <v>0</v>
      </c>
      <c r="D104" s="10">
        <v>37558</v>
      </c>
    </row>
    <row r="105" spans="1:4" x14ac:dyDescent="0.25">
      <c r="A105" s="2" t="str">
        <f>"1.3.5.00.00- ( - )DEPRECIACAO E AMORTIZACAO"</f>
        <v>1.3.5.00.00- ( - )DEPRECIACAO E AMORTIZACAO</v>
      </c>
      <c r="B105" s="10">
        <v>-5755190.8799999999</v>
      </c>
      <c r="C105" s="10">
        <v>-20920.04</v>
      </c>
      <c r="D105" s="10">
        <v>-5776110.9199999999</v>
      </c>
    </row>
    <row r="106" spans="1:4" x14ac:dyDescent="0.25">
      <c r="A106" s="2" t="str">
        <f>"1.3.5.01.00- ( - ) DEPRECIACAO E AMORTIZACAO"</f>
        <v>1.3.5.01.00- ( - ) DEPRECIACAO E AMORTIZACAO</v>
      </c>
      <c r="B106" s="10">
        <v>-5755190.8799999999</v>
      </c>
      <c r="C106" s="10">
        <v>-20920.04</v>
      </c>
      <c r="D106" s="10">
        <v>-5776110.9199999999</v>
      </c>
    </row>
    <row r="107" spans="1:4" x14ac:dyDescent="0.25">
      <c r="A107" s="2" t="str">
        <f>"1.3.5.01.01- ( - ) Moveis e Utensilios"</f>
        <v>1.3.5.01.01- ( - ) Moveis e Utensilios</v>
      </c>
      <c r="B107" s="10">
        <v>-449109.08</v>
      </c>
      <c r="C107" s="10">
        <v>-2417.8200000000002</v>
      </c>
      <c r="D107" s="10">
        <v>-451526.9</v>
      </c>
    </row>
    <row r="108" spans="1:4" x14ac:dyDescent="0.25">
      <c r="A108" s="2" t="str">
        <f>"1.3.5.01.02- ( - ) Aparelhos/Equipamentos Diversos"</f>
        <v>1.3.5.01.02- ( - ) Aparelhos/Equipamentos Diversos</v>
      </c>
      <c r="B108" s="10">
        <v>-374594.22</v>
      </c>
      <c r="C108" s="10">
        <v>-4142.38</v>
      </c>
      <c r="D108" s="10">
        <v>-378736.6</v>
      </c>
    </row>
    <row r="109" spans="1:4" x14ac:dyDescent="0.25">
      <c r="A109" s="2" t="str">
        <f>"1.3.5.01.03- ( - ) Instalacoes Administrativas"</f>
        <v>1.3.5.01.03- ( - ) Instalacoes Administrativas</v>
      </c>
      <c r="B109" s="10">
        <v>-99033.05</v>
      </c>
      <c r="C109" s="10">
        <v>-3.31</v>
      </c>
      <c r="D109" s="10">
        <v>-99036.36</v>
      </c>
    </row>
    <row r="110" spans="1:4" x14ac:dyDescent="0.25">
      <c r="A110" s="2" t="str">
        <f>"1.3.5.01.05- ( - ) Impressoras e Micros"</f>
        <v>1.3.5.01.05- ( - ) Impressoras e Micros</v>
      </c>
      <c r="B110" s="10">
        <v>-3278521.23</v>
      </c>
      <c r="C110" s="10">
        <v>-6346.51</v>
      </c>
      <c r="D110" s="10">
        <v>-3284867.74</v>
      </c>
    </row>
    <row r="111" spans="1:4" x14ac:dyDescent="0.25">
      <c r="A111" s="2" t="str">
        <f>"1.3.5.01.06- ( - ) Maquinas e Equipamentos"</f>
        <v>1.3.5.01.06- ( - ) Maquinas e Equipamentos</v>
      </c>
      <c r="B111" s="10">
        <v>-160398.18</v>
      </c>
      <c r="C111" s="10">
        <v>-1469.19</v>
      </c>
      <c r="D111" s="10">
        <v>-161867.37</v>
      </c>
    </row>
    <row r="112" spans="1:4" x14ac:dyDescent="0.25">
      <c r="A112" s="2" t="str">
        <f>"1.3.5.01.07- ( - ) Equipamentos de Comunicacao"</f>
        <v>1.3.5.01.07- ( - ) Equipamentos de Comunicacao</v>
      </c>
      <c r="B112" s="10">
        <v>-172037.17</v>
      </c>
      <c r="C112" s="10">
        <v>-21.34</v>
      </c>
      <c r="D112" s="10">
        <v>-172058.51</v>
      </c>
    </row>
    <row r="113" spans="1:4" x14ac:dyDescent="0.25">
      <c r="A113" s="2" t="str">
        <f>"1.3.5.01.08- ( - ) Instalacoes Operacionais"</f>
        <v>1.3.5.01.08- ( - ) Instalacoes Operacionais</v>
      </c>
      <c r="B113" s="10">
        <v>-67225.84</v>
      </c>
      <c r="C113" s="10">
        <v>-270.39</v>
      </c>
      <c r="D113" s="10">
        <v>-67496.23</v>
      </c>
    </row>
    <row r="114" spans="1:4" x14ac:dyDescent="0.25">
      <c r="A114" s="2" t="str">
        <f>"1.3.5.01.09- ( - ) Programas (Softwares)"</f>
        <v>1.3.5.01.09- ( - ) Programas (Softwares)</v>
      </c>
      <c r="B114" s="10">
        <v>-30579.69</v>
      </c>
      <c r="C114" s="10">
        <v>-612.5</v>
      </c>
      <c r="D114" s="10">
        <v>-31192.19</v>
      </c>
    </row>
    <row r="115" spans="1:4" x14ac:dyDescent="0.25">
      <c r="A115" s="2" t="str">
        <f>"1.3.5.01.14- ( - ) Ferramentas"</f>
        <v>1.3.5.01.14- ( - ) Ferramentas</v>
      </c>
      <c r="B115" s="10">
        <v>-7316.68</v>
      </c>
      <c r="C115" s="10">
        <v>-56.85</v>
      </c>
      <c r="D115" s="10">
        <v>-7373.53</v>
      </c>
    </row>
    <row r="116" spans="1:4" x14ac:dyDescent="0.25">
      <c r="A116" s="2" t="str">
        <f>"1.3.5.01.15- ( - ) Imobilizacoes em Imov. Terceiros"</f>
        <v>1.3.5.01.15- ( - ) Imobilizacoes em Imov. Terceiros</v>
      </c>
      <c r="B116" s="10">
        <v>-1116375.74</v>
      </c>
      <c r="C116" s="10">
        <v>-5579.75</v>
      </c>
      <c r="D116" s="10">
        <v>-1121955.49</v>
      </c>
    </row>
    <row r="117" spans="1:4" x14ac:dyDescent="0.25">
      <c r="A117" s="2" t="str">
        <f>""</f>
        <v/>
      </c>
      <c r="B117" s="3" t="str">
        <f>""</f>
        <v/>
      </c>
      <c r="C117" s="3" t="str">
        <f>""</f>
        <v/>
      </c>
      <c r="D117" s="3" t="str">
        <f>""</f>
        <v/>
      </c>
    </row>
    <row r="118" spans="1:4" x14ac:dyDescent="0.25">
      <c r="A118" s="2" t="str">
        <f>"PASSIVO"</f>
        <v>PASSIVO</v>
      </c>
      <c r="B118" s="3" t="str">
        <f>""</f>
        <v/>
      </c>
      <c r="C118" s="3" t="str">
        <f>""</f>
        <v/>
      </c>
      <c r="D118" s="3" t="str">
        <f>""</f>
        <v/>
      </c>
    </row>
    <row r="119" spans="1:4" x14ac:dyDescent="0.25">
      <c r="A119" s="2" t="str">
        <f>"2.0.0.00.00- PASSIVO"</f>
        <v>2.0.0.00.00- PASSIVO</v>
      </c>
      <c r="B119" s="10">
        <v>38048257.130000003</v>
      </c>
      <c r="C119" s="10">
        <v>2375841.37</v>
      </c>
      <c r="D119" s="10">
        <v>40424098.5</v>
      </c>
    </row>
    <row r="120" spans="1:4" x14ac:dyDescent="0.25">
      <c r="A120" s="2" t="str">
        <f>"2.1.0.00.00- PASSIVO CIRCULANTE"</f>
        <v>2.1.0.00.00- PASSIVO CIRCULANTE</v>
      </c>
      <c r="B120" s="10">
        <v>66766274.719999999</v>
      </c>
      <c r="C120" s="10">
        <v>2490148.4700000002</v>
      </c>
      <c r="D120" s="10">
        <v>69256423.189999998</v>
      </c>
    </row>
    <row r="121" spans="1:4" x14ac:dyDescent="0.25">
      <c r="A121" s="2" t="str">
        <f>"2.1.1.00.00- OBRIGACOES COM PESSOAL"</f>
        <v>2.1.1.00.00- OBRIGACOES COM PESSOAL</v>
      </c>
      <c r="B121" s="10">
        <v>16546781.92</v>
      </c>
      <c r="C121" s="10">
        <v>-1417736.89</v>
      </c>
      <c r="D121" s="10">
        <v>15129045.029999999</v>
      </c>
    </row>
    <row r="122" spans="1:4" x14ac:dyDescent="0.25">
      <c r="A122" s="2" t="str">
        <f>"2.1.1.01.00- SALARIOS A PAGAR"</f>
        <v>2.1.1.01.00- SALARIOS A PAGAR</v>
      </c>
      <c r="B122" s="10">
        <v>16546781.92</v>
      </c>
      <c r="C122" s="10">
        <v>-1417736.89</v>
      </c>
      <c r="D122" s="10">
        <v>15129045.029999999</v>
      </c>
    </row>
    <row r="123" spans="1:4" x14ac:dyDescent="0.25">
      <c r="A123" s="2" t="str">
        <f>"2.1.1.01.01- Salarios a Pagar"</f>
        <v>2.1.1.01.01- Salarios a Pagar</v>
      </c>
      <c r="B123" s="10">
        <v>5535806.5999999996</v>
      </c>
      <c r="C123" s="10">
        <v>-751017.96</v>
      </c>
      <c r="D123" s="10">
        <v>4784788.6399999997</v>
      </c>
    </row>
    <row r="124" spans="1:4" x14ac:dyDescent="0.25">
      <c r="A124" s="2" t="str">
        <f>"2.1.1.01.02- Provisão 13º Salário"</f>
        <v>2.1.1.01.02- Provisão 13º Salário</v>
      </c>
      <c r="B124" s="10">
        <v>963105.07</v>
      </c>
      <c r="C124" s="10">
        <v>444201.93</v>
      </c>
      <c r="D124" s="10">
        <v>1407307</v>
      </c>
    </row>
    <row r="125" spans="1:4" x14ac:dyDescent="0.25">
      <c r="A125" s="2" t="str">
        <f>"2.1.1.01.03- Ferias a pagar"</f>
        <v>2.1.1.01.03- Ferias a pagar</v>
      </c>
      <c r="B125" s="10">
        <v>336500.49</v>
      </c>
      <c r="C125" s="10">
        <v>-240013.8</v>
      </c>
      <c r="D125" s="10">
        <v>96486.69</v>
      </c>
    </row>
    <row r="126" spans="1:4" x14ac:dyDescent="0.25">
      <c r="A126" s="2" t="str">
        <f>"2.1.1.01.05- Rescisoes a Pagar"</f>
        <v>2.1.1.01.05- Rescisoes a Pagar</v>
      </c>
      <c r="B126" s="10">
        <v>2664.16</v>
      </c>
      <c r="C126" s="10">
        <v>-2664.16</v>
      </c>
      <c r="D126" s="10">
        <v>0</v>
      </c>
    </row>
    <row r="127" spans="1:4" x14ac:dyDescent="0.25">
      <c r="A127" s="2" t="str">
        <f>"2.1.1.01.09- Provisao de Ferias"</f>
        <v>2.1.1.01.09- Provisao de Ferias</v>
      </c>
      <c r="B127" s="10">
        <v>6717510.9500000002</v>
      </c>
      <c r="C127" s="10">
        <v>87391.33</v>
      </c>
      <c r="D127" s="10">
        <v>6804902.2800000003</v>
      </c>
    </row>
    <row r="128" spans="1:4" x14ac:dyDescent="0.25">
      <c r="A128" s="2" t="str">
        <f>"2.1.1.01.11- Indenizações trabalhistas - ACT"</f>
        <v>2.1.1.01.11- Indenizações trabalhistas - ACT</v>
      </c>
      <c r="B128" s="10">
        <v>2991194.65</v>
      </c>
      <c r="C128" s="10">
        <v>-955634.23</v>
      </c>
      <c r="D128" s="10">
        <v>2035560.42</v>
      </c>
    </row>
    <row r="129" spans="1:4" x14ac:dyDescent="0.25">
      <c r="A129" s="2" t="str">
        <f>"2.1.2.00.00- OBRIGACOES SOCIAIS A CURTO PRAZO"</f>
        <v>2.1.2.00.00- OBRIGACOES SOCIAIS A CURTO PRAZO</v>
      </c>
      <c r="B129" s="10">
        <v>6463972.0800000001</v>
      </c>
      <c r="C129" s="10">
        <v>7549.17</v>
      </c>
      <c r="D129" s="10">
        <v>6471521.25</v>
      </c>
    </row>
    <row r="130" spans="1:4" x14ac:dyDescent="0.25">
      <c r="A130" s="2" t="str">
        <f>"2.1.2.01.00- OBRIGACOES SOCIAIS A RECOLHER"</f>
        <v>2.1.2.01.00- OBRIGACOES SOCIAIS A RECOLHER</v>
      </c>
      <c r="B130" s="10">
        <v>6463972.0800000001</v>
      </c>
      <c r="C130" s="10">
        <v>7549.17</v>
      </c>
      <c r="D130" s="10">
        <v>6471521.25</v>
      </c>
    </row>
    <row r="131" spans="1:4" x14ac:dyDescent="0.25">
      <c r="A131" s="2" t="str">
        <f>"2.1.2.01.01- INSS a recolher s/Folha Pagto"</f>
        <v>2.1.2.01.01- INSS a recolher s/Folha Pagto</v>
      </c>
      <c r="B131" s="10">
        <v>2495683.19</v>
      </c>
      <c r="C131" s="10">
        <v>-315002.42</v>
      </c>
      <c r="D131" s="10">
        <v>2180680.77</v>
      </c>
    </row>
    <row r="132" spans="1:4" x14ac:dyDescent="0.25">
      <c r="A132" s="2" t="str">
        <f>"2.1.2.01.02- FGTS a recolher s/Folha Pagto"</f>
        <v>2.1.2.01.02- FGTS a recolher s/Folha Pagto</v>
      </c>
      <c r="B132" s="10">
        <v>572981.39</v>
      </c>
      <c r="C132" s="10">
        <v>-78728.02</v>
      </c>
      <c r="D132" s="10">
        <v>494253.37</v>
      </c>
    </row>
    <row r="133" spans="1:4" x14ac:dyDescent="0.25">
      <c r="A133" s="2" t="str">
        <f>"2.1.2.01.05- Contribuicao Sindical"</f>
        <v>2.1.2.01.05- Contribuicao Sindical</v>
      </c>
      <c r="B133" s="10">
        <v>8076.45</v>
      </c>
      <c r="C133" s="10">
        <v>1019.71</v>
      </c>
      <c r="D133" s="10">
        <v>9096.16</v>
      </c>
    </row>
    <row r="134" spans="1:4" x14ac:dyDescent="0.25">
      <c r="A134" s="2" t="str">
        <f>"2.1.2.01.06- INSS s/Provisao de Ferias"</f>
        <v>2.1.2.01.06- INSS s/Provisao de Ferias</v>
      </c>
      <c r="B134" s="10">
        <v>1936860.69</v>
      </c>
      <c r="C134" s="10">
        <v>27712.06</v>
      </c>
      <c r="D134" s="10">
        <v>1964572.75</v>
      </c>
    </row>
    <row r="135" spans="1:4" x14ac:dyDescent="0.25">
      <c r="A135" s="2" t="str">
        <f>"2.1.2.01.07- AEB - Assoc. Empreg. BHTRANS"</f>
        <v>2.1.2.01.07- AEB - Assoc. Empreg. BHTRANS</v>
      </c>
      <c r="B135" s="10">
        <v>4798.79</v>
      </c>
      <c r="C135" s="10">
        <v>1.67</v>
      </c>
      <c r="D135" s="10">
        <v>4800.46</v>
      </c>
    </row>
    <row r="136" spans="1:4" x14ac:dyDescent="0.25">
      <c r="A136" s="2" t="str">
        <f>"2.1.2.01.09- INSS a Recolher s/Autonomos"</f>
        <v>2.1.2.01.09- INSS a Recolher s/Autonomos</v>
      </c>
      <c r="B136" s="10">
        <v>1301.8399999999999</v>
      </c>
      <c r="C136" s="10">
        <v>328.28</v>
      </c>
      <c r="D136" s="10">
        <v>1630.12</v>
      </c>
    </row>
    <row r="137" spans="1:4" x14ac:dyDescent="0.25">
      <c r="A137" s="2" t="str">
        <f>"2.1.2.01.10- INSS s/Provisao de 13.Salario"</f>
        <v>2.1.2.01.10- INSS s/Provisao de 13.Salario</v>
      </c>
      <c r="B137" s="10">
        <v>279267.15000000002</v>
      </c>
      <c r="C137" s="10">
        <v>129267.7</v>
      </c>
      <c r="D137" s="10">
        <v>408534.85</v>
      </c>
    </row>
    <row r="138" spans="1:4" x14ac:dyDescent="0.25">
      <c r="A138" s="2" t="str">
        <f>"2.1.2.01.11- FGTS s/Provisao de 13.Salario"</f>
        <v>2.1.2.01.11- FGTS s/Provisao de 13.Salario</v>
      </c>
      <c r="B138" s="10">
        <v>61946</v>
      </c>
      <c r="C138" s="10">
        <v>23205.19</v>
      </c>
      <c r="D138" s="10">
        <v>85151.19</v>
      </c>
    </row>
    <row r="139" spans="1:4" x14ac:dyDescent="0.25">
      <c r="A139" s="2" t="str">
        <f>"2.1.2.01.12- FGTS s/Provisao de Ferias"</f>
        <v>2.1.2.01.12- FGTS s/Provisao de Ferias</v>
      </c>
      <c r="B139" s="10">
        <v>535059.48</v>
      </c>
      <c r="C139" s="10">
        <v>7007.34</v>
      </c>
      <c r="D139" s="10">
        <v>542066.81999999995</v>
      </c>
    </row>
    <row r="140" spans="1:4" x14ac:dyDescent="0.25">
      <c r="A140" s="2" t="str">
        <f>"2.1.2.01.13- Contribuicao ao PAMEH"</f>
        <v>2.1.2.01.13- Contribuicao ao PAMEH</v>
      </c>
      <c r="B140" s="10">
        <v>544637</v>
      </c>
      <c r="C140" s="10">
        <v>-35343.730000000003</v>
      </c>
      <c r="D140" s="10">
        <v>509293.27</v>
      </c>
    </row>
    <row r="141" spans="1:4" x14ac:dyDescent="0.25">
      <c r="A141" s="2" t="str">
        <f>"2.1.2.01.15- Crediserv-BH"</f>
        <v>2.1.2.01.15- Crediserv-BH</v>
      </c>
      <c r="B141" s="10">
        <v>21456.46</v>
      </c>
      <c r="C141" s="10">
        <v>-111.66</v>
      </c>
      <c r="D141" s="10">
        <v>21344.799999999999</v>
      </c>
    </row>
    <row r="142" spans="1:4" x14ac:dyDescent="0.25">
      <c r="A142" s="2" t="str">
        <f>"2.1.2.01.16- INSS Fonte a Recolher - PJ"</f>
        <v>2.1.2.01.16- INSS Fonte a Recolher - PJ</v>
      </c>
      <c r="B142" s="10">
        <v>741.94</v>
      </c>
      <c r="C142" s="10">
        <v>247958.46</v>
      </c>
      <c r="D142" s="10">
        <v>248700.4</v>
      </c>
    </row>
    <row r="143" spans="1:4" x14ac:dyDescent="0.25">
      <c r="A143" s="2" t="str">
        <f>"2.1.2.01.18- INSS Fonte a Recolher - P F"</f>
        <v>2.1.2.01.18- INSS Fonte a Recolher - P F</v>
      </c>
      <c r="B143" s="10">
        <v>641.70000000000005</v>
      </c>
      <c r="C143" s="10">
        <v>234.59</v>
      </c>
      <c r="D143" s="10">
        <v>876.29</v>
      </c>
    </row>
    <row r="144" spans="1:4" x14ac:dyDescent="0.25">
      <c r="A144" s="2" t="str">
        <f>"2.1.2.01.19- ASFIM - PBH"</f>
        <v>2.1.2.01.19- ASFIM - PBH</v>
      </c>
      <c r="B144" s="10">
        <v>520</v>
      </c>
      <c r="C144" s="10">
        <v>0</v>
      </c>
      <c r="D144" s="10">
        <v>520</v>
      </c>
    </row>
    <row r="145" spans="1:4" x14ac:dyDescent="0.25">
      <c r="A145" s="2" t="str">
        <f>"2.1.3.00.00- OBRIGACOES FISCAIS A CURTO PRAZO"</f>
        <v>2.1.3.00.00- OBRIGACOES FISCAIS A CURTO PRAZO</v>
      </c>
      <c r="B145" s="10">
        <v>1524110.92</v>
      </c>
      <c r="C145" s="10">
        <v>330954.45</v>
      </c>
      <c r="D145" s="10">
        <v>1855065.37</v>
      </c>
    </row>
    <row r="146" spans="1:4" x14ac:dyDescent="0.25">
      <c r="A146" s="2" t="str">
        <f>"2.1.3.01.00- IMPOSTOS E TAXAS A RECOLHER"</f>
        <v>2.1.3.01.00- IMPOSTOS E TAXAS A RECOLHER</v>
      </c>
      <c r="B146" s="10">
        <v>1524110.92</v>
      </c>
      <c r="C146" s="10">
        <v>330954.45</v>
      </c>
      <c r="D146" s="10">
        <v>1855065.37</v>
      </c>
    </row>
    <row r="147" spans="1:4" x14ac:dyDescent="0.25">
      <c r="A147" s="2" t="str">
        <f>"2.1.3.01.01- IRRF Fonte Folha Pagto"</f>
        <v>2.1.3.01.01- IRRF Fonte Folha Pagto</v>
      </c>
      <c r="B147" s="10">
        <v>576414.03</v>
      </c>
      <c r="C147" s="10">
        <v>294887.76</v>
      </c>
      <c r="D147" s="10">
        <v>871301.79</v>
      </c>
    </row>
    <row r="148" spans="1:4" x14ac:dyDescent="0.25">
      <c r="A148" s="2" t="str">
        <f>"2.1.3.01.03- IRRF Fonte - Pessoa  Juridica e Física"</f>
        <v>2.1.3.01.03- IRRF Fonte - Pessoa  Juridica e Física</v>
      </c>
      <c r="B148" s="10">
        <v>1779.07</v>
      </c>
      <c r="C148" s="10">
        <v>22941.94</v>
      </c>
      <c r="D148" s="10">
        <v>24721.01</v>
      </c>
    </row>
    <row r="149" spans="1:4" x14ac:dyDescent="0.25">
      <c r="A149" s="2" t="str">
        <f>"2.1.3.01.04- ISS Retido Fonte PF"</f>
        <v>2.1.3.01.04- ISS Retido Fonte PF</v>
      </c>
      <c r="B149" s="10">
        <v>67.5</v>
      </c>
      <c r="C149" s="10">
        <v>57.5</v>
      </c>
      <c r="D149" s="10">
        <v>125</v>
      </c>
    </row>
    <row r="150" spans="1:4" x14ac:dyDescent="0.25">
      <c r="A150" s="2" t="str">
        <f>"2.1.3.01.05- ISS S/ Faturamento"</f>
        <v>2.1.3.01.05- ISS S/ Faturamento</v>
      </c>
      <c r="B150" s="10">
        <v>2109.9</v>
      </c>
      <c r="C150" s="10">
        <v>-321.7</v>
      </c>
      <c r="D150" s="10">
        <v>1788.2</v>
      </c>
    </row>
    <row r="151" spans="1:4" x14ac:dyDescent="0.25">
      <c r="A151" s="2" t="str">
        <f>"2.1.3.01.07- COFINS a Recolher"</f>
        <v>2.1.3.01.07- COFINS a Recolher</v>
      </c>
      <c r="B151" s="10">
        <v>757166.75</v>
      </c>
      <c r="C151" s="10">
        <v>-80752.88</v>
      </c>
      <c r="D151" s="10">
        <v>676413.87</v>
      </c>
    </row>
    <row r="152" spans="1:4" x14ac:dyDescent="0.25">
      <c r="A152" s="2" t="str">
        <f>"2.1.3.01.08- PIS a Recolher"</f>
        <v>2.1.3.01.08- PIS a Recolher</v>
      </c>
      <c r="B152" s="10">
        <v>164279.04999999999</v>
      </c>
      <c r="C152" s="10">
        <v>-17553.169999999998</v>
      </c>
      <c r="D152" s="10">
        <v>146725.88</v>
      </c>
    </row>
    <row r="153" spans="1:4" x14ac:dyDescent="0.25">
      <c r="A153" s="2" t="str">
        <f>"2.1.3.01.09- ISS Fonte a Recolher P.Juridica"</f>
        <v>2.1.3.01.09- ISS Fonte a Recolher P.Juridica</v>
      </c>
      <c r="B153" s="10">
        <v>5470.72</v>
      </c>
      <c r="C153" s="10">
        <v>802.18</v>
      </c>
      <c r="D153" s="10">
        <v>6272.9</v>
      </c>
    </row>
    <row r="154" spans="1:4" x14ac:dyDescent="0.25">
      <c r="A154" s="2" t="str">
        <f>"2.1.3.01.12- CSLL-COFINS-PIS - FONTE"</f>
        <v>2.1.3.01.12- CSLL-COFINS-PIS - FONTE</v>
      </c>
      <c r="B154" s="10">
        <v>16823.900000000001</v>
      </c>
      <c r="C154" s="10">
        <v>110892.82</v>
      </c>
      <c r="D154" s="10">
        <v>127716.72</v>
      </c>
    </row>
    <row r="155" spans="1:4" x14ac:dyDescent="0.25">
      <c r="A155" s="2" t="str">
        <f>"2.1.4.00.00- OUTRAS OBRIGACOES A CURTO PRAZO"</f>
        <v>2.1.4.00.00- OUTRAS OBRIGACOES A CURTO PRAZO</v>
      </c>
      <c r="B155" s="10">
        <v>42187752.25</v>
      </c>
      <c r="C155" s="10">
        <v>3570534.01</v>
      </c>
      <c r="D155" s="10">
        <v>45758286.259999998</v>
      </c>
    </row>
    <row r="156" spans="1:4" x14ac:dyDescent="0.25">
      <c r="A156" s="2" t="str">
        <f>"2.1.4.01.00- FORNECEDORES"</f>
        <v>2.1.4.01.00- FORNECEDORES</v>
      </c>
      <c r="B156" s="10">
        <v>1916447.67</v>
      </c>
      <c r="C156" s="10">
        <v>1409313.58</v>
      </c>
      <c r="D156" s="10">
        <v>3325761.25</v>
      </c>
    </row>
    <row r="157" spans="1:4" x14ac:dyDescent="0.25">
      <c r="A157" s="2" t="str">
        <f>"2.1.4.01.99- Fornecedores"</f>
        <v>2.1.4.01.99- Fornecedores</v>
      </c>
      <c r="B157" s="10">
        <v>1916447.67</v>
      </c>
      <c r="C157" s="10">
        <v>1409313.58</v>
      </c>
      <c r="D157" s="10">
        <v>3325761.25</v>
      </c>
    </row>
    <row r="158" spans="1:4" x14ac:dyDescent="0.25">
      <c r="A158" s="2" t="str">
        <f>"2.1.4.02.00- CONTAS A PAGAR"</f>
        <v>2.1.4.02.00- CONTAS A PAGAR</v>
      </c>
      <c r="B158" s="10">
        <v>437574.3</v>
      </c>
      <c r="C158" s="10">
        <v>-139596.10999999999</v>
      </c>
      <c r="D158" s="10">
        <v>297978.19</v>
      </c>
    </row>
    <row r="159" spans="1:4" x14ac:dyDescent="0.25">
      <c r="A159" s="2" t="str">
        <f>"2.1.4.02.01- Emprestimo Consignado - Bradesco"</f>
        <v>2.1.4.02.01- Emprestimo Consignado - Bradesco</v>
      </c>
      <c r="B159" s="10">
        <v>120444.9</v>
      </c>
      <c r="C159" s="10">
        <v>4177.99</v>
      </c>
      <c r="D159" s="10">
        <v>124622.89</v>
      </c>
    </row>
    <row r="160" spans="1:4" x14ac:dyDescent="0.25">
      <c r="A160" s="2" t="str">
        <f>"2.1.4.02.03- Emprestimo Consignado - CEF"</f>
        <v>2.1.4.02.03- Emprestimo Consignado - CEF</v>
      </c>
      <c r="B160" s="10">
        <v>27504.94</v>
      </c>
      <c r="C160" s="10">
        <v>-1418.32</v>
      </c>
      <c r="D160" s="10">
        <v>26086.62</v>
      </c>
    </row>
    <row r="161" spans="1:4" x14ac:dyDescent="0.25">
      <c r="A161" s="2" t="str">
        <f>"2.1.4.02.04- Emprestimo Consignado - B.Brasil"</f>
        <v>2.1.4.02.04- Emprestimo Consignado - B.Brasil</v>
      </c>
      <c r="B161" s="10">
        <v>52884.93</v>
      </c>
      <c r="C161" s="10">
        <v>-454.21</v>
      </c>
      <c r="D161" s="10">
        <v>52430.720000000001</v>
      </c>
    </row>
    <row r="162" spans="1:4" x14ac:dyDescent="0.25">
      <c r="A162" s="2" t="str">
        <f>"2.1.4.02.05- Emprestimo Consignado-Banco Alfa"</f>
        <v>2.1.4.02.05- Emprestimo Consignado-Banco Alfa</v>
      </c>
      <c r="B162" s="10">
        <v>62265.27</v>
      </c>
      <c r="C162" s="10">
        <v>-3968.16</v>
      </c>
      <c r="D162" s="10">
        <v>58297.11</v>
      </c>
    </row>
    <row r="163" spans="1:4" x14ac:dyDescent="0.25">
      <c r="A163" s="2" t="str">
        <f>"2.1.4.02.07- Emprestimo Consignado - B. Safra"</f>
        <v>2.1.4.02.07- Emprestimo Consignado - B. Safra</v>
      </c>
      <c r="B163" s="10">
        <v>15055.22</v>
      </c>
      <c r="C163" s="10">
        <v>677.43</v>
      </c>
      <c r="D163" s="10">
        <v>15732.65</v>
      </c>
    </row>
    <row r="164" spans="1:4" x14ac:dyDescent="0.25">
      <c r="A164" s="2" t="str">
        <f>"2.1.4.02.09- Emprestimo Consignado - BMC"</f>
        <v>2.1.4.02.09- Emprestimo Consignado - BMC</v>
      </c>
      <c r="B164" s="10">
        <v>307.8</v>
      </c>
      <c r="C164" s="10">
        <v>0</v>
      </c>
      <c r="D164" s="10">
        <v>307.8</v>
      </c>
    </row>
    <row r="165" spans="1:4" x14ac:dyDescent="0.25">
      <c r="A165" s="2" t="str">
        <f>"2.1.4.02.10- Cartão - BMG Card"</f>
        <v>2.1.4.02.10- Cartão - BMG Card</v>
      </c>
      <c r="B165" s="10">
        <v>9074.2900000000009</v>
      </c>
      <c r="C165" s="10">
        <v>355.97</v>
      </c>
      <c r="D165" s="10">
        <v>9430.26</v>
      </c>
    </row>
    <row r="166" spans="1:4" x14ac:dyDescent="0.25">
      <c r="A166" s="2" t="str">
        <f>"2.1.4.02.12- Custas judiciais"</f>
        <v>2.1.4.02.12- Custas judiciais</v>
      </c>
      <c r="B166" s="10">
        <v>2575.21</v>
      </c>
      <c r="C166" s="10">
        <v>-2465.21</v>
      </c>
      <c r="D166" s="10">
        <v>110</v>
      </c>
    </row>
    <row r="167" spans="1:4" x14ac:dyDescent="0.25">
      <c r="A167" s="2" t="str">
        <f>"2.1.4.02.99- Contas a Pagar"</f>
        <v>2.1.4.02.99- Contas a Pagar</v>
      </c>
      <c r="B167" s="10">
        <v>147461.74</v>
      </c>
      <c r="C167" s="10">
        <v>-136501.6</v>
      </c>
      <c r="D167" s="10">
        <v>10960.14</v>
      </c>
    </row>
    <row r="168" spans="1:4" x14ac:dyDescent="0.25">
      <c r="A168" s="2" t="str">
        <f>"2.1.4.03.00- CREDORES DIVERSOS"</f>
        <v>2.1.4.03.00- CREDORES DIVERSOS</v>
      </c>
      <c r="B168" s="10">
        <v>39048796.450000003</v>
      </c>
      <c r="C168" s="10">
        <v>2300816.54</v>
      </c>
      <c r="D168" s="10">
        <v>41349612.990000002</v>
      </c>
    </row>
    <row r="169" spans="1:4" x14ac:dyDescent="0.25">
      <c r="A169" s="2" t="str">
        <f>"2.1.4.03.07- Adiantamento Acionista - Municipio BH"</f>
        <v>2.1.4.03.07- Adiantamento Acionista - Municipio BH</v>
      </c>
      <c r="B169" s="10">
        <v>38035007.93</v>
      </c>
      <c r="C169" s="10">
        <v>2305141.83</v>
      </c>
      <c r="D169" s="10">
        <v>40340149.759999998</v>
      </c>
    </row>
    <row r="170" spans="1:4" x14ac:dyDescent="0.25">
      <c r="A170" s="2" t="str">
        <f>"2.1.4.03.17- Adiantamento de Clientes"</f>
        <v>2.1.4.03.17- Adiantamento de Clientes</v>
      </c>
      <c r="B170" s="10">
        <v>1013788.52</v>
      </c>
      <c r="C170" s="10">
        <v>-4325.29</v>
      </c>
      <c r="D170" s="10">
        <v>1009463.23</v>
      </c>
    </row>
    <row r="171" spans="1:4" x14ac:dyDescent="0.25">
      <c r="A171" s="2" t="str">
        <f>"2.1.4.04.00- CAUCAO DE TERCEIROS/LEILAO"</f>
        <v>2.1.4.04.00- CAUCAO DE TERCEIROS/LEILAO</v>
      </c>
      <c r="B171" s="10">
        <v>784933.83</v>
      </c>
      <c r="C171" s="10">
        <v>0</v>
      </c>
      <c r="D171" s="10">
        <v>784933.83</v>
      </c>
    </row>
    <row r="172" spans="1:4" x14ac:dyDescent="0.25">
      <c r="A172" s="2" t="str">
        <f>"2.1.4.04.98- Leilões"</f>
        <v>2.1.4.04.98- Leilões</v>
      </c>
      <c r="B172" s="10">
        <v>464970.44</v>
      </c>
      <c r="C172" s="10">
        <v>0</v>
      </c>
      <c r="D172" s="10">
        <v>464970.44</v>
      </c>
    </row>
    <row r="173" spans="1:4" x14ac:dyDescent="0.25">
      <c r="A173" s="2" t="str">
        <f>"2.1.4.04.99- Caucao de Terceiros"</f>
        <v>2.1.4.04.99- Caucao de Terceiros</v>
      </c>
      <c r="B173" s="10">
        <v>319963.39</v>
      </c>
      <c r="C173" s="10">
        <v>0</v>
      </c>
      <c r="D173" s="10">
        <v>319963.39</v>
      </c>
    </row>
    <row r="174" spans="1:4" x14ac:dyDescent="0.25">
      <c r="A174" s="2" t="str">
        <f>"2.1.6.00.00- OBRIGACOES VINC. A PAGAR-PAMEH"</f>
        <v>2.1.6.00.00- OBRIGACOES VINC. A PAGAR-PAMEH</v>
      </c>
      <c r="B174" s="10">
        <v>43657.55</v>
      </c>
      <c r="C174" s="10">
        <v>-1152.27</v>
      </c>
      <c r="D174" s="10">
        <v>42505.279999999999</v>
      </c>
    </row>
    <row r="175" spans="1:4" x14ac:dyDescent="0.25">
      <c r="A175" s="2" t="str">
        <f>"2.1.6.01.00- OBRIGACOES VINC. -PAMEH"</f>
        <v>2.1.6.01.00- OBRIGACOES VINC. -PAMEH</v>
      </c>
      <c r="B175" s="10">
        <v>43657.55</v>
      </c>
      <c r="C175" s="10">
        <v>-1152.27</v>
      </c>
      <c r="D175" s="10">
        <v>42505.279999999999</v>
      </c>
    </row>
    <row r="176" spans="1:4" x14ac:dyDescent="0.25">
      <c r="A176" s="2" t="str">
        <f>"2.1.6.01.01- Obrigacoes Vinculadas - PAMEH"</f>
        <v>2.1.6.01.01- Obrigacoes Vinculadas - PAMEH</v>
      </c>
      <c r="B176" s="10">
        <v>43657.55</v>
      </c>
      <c r="C176" s="10">
        <v>-1152.27</v>
      </c>
      <c r="D176" s="10">
        <v>42505.279999999999</v>
      </c>
    </row>
    <row r="177" spans="1:4" x14ac:dyDescent="0.25">
      <c r="A177" s="2" t="str">
        <f>"2.2.0.00.00- PASSIVO NAO CIRCULANTE"</f>
        <v>2.2.0.00.00- PASSIVO NAO CIRCULANTE</v>
      </c>
      <c r="B177" s="10">
        <v>48054474.409999996</v>
      </c>
      <c r="C177" s="10">
        <v>-65577.3</v>
      </c>
      <c r="D177" s="10">
        <v>47988897.109999999</v>
      </c>
    </row>
    <row r="178" spans="1:4" x14ac:dyDescent="0.25">
      <c r="A178" s="2" t="str">
        <f>"2.2.4.00.00- OUTRAS OBRIGACOES A LONGO PRAZO"</f>
        <v>2.2.4.00.00- OUTRAS OBRIGACOES A LONGO PRAZO</v>
      </c>
      <c r="B178" s="10">
        <v>44594066.869999997</v>
      </c>
      <c r="C178" s="10">
        <v>0</v>
      </c>
      <c r="D178" s="10">
        <v>44594066.869999997</v>
      </c>
    </row>
    <row r="179" spans="1:4" x14ac:dyDescent="0.25">
      <c r="A179" s="2" t="str">
        <f>"2.2.4.01.00- CREDORES DIVERSOS"</f>
        <v>2.2.4.01.00- CREDORES DIVERSOS</v>
      </c>
      <c r="B179" s="10">
        <v>10868557.66</v>
      </c>
      <c r="C179" s="10">
        <v>0</v>
      </c>
      <c r="D179" s="10">
        <v>10868557.66</v>
      </c>
    </row>
    <row r="180" spans="1:4" x14ac:dyDescent="0.25">
      <c r="A180" s="2" t="str">
        <f>"2.2.4.01.04- Provisão para Contingências Fiscais"</f>
        <v>2.2.4.01.04- Provisão para Contingências Fiscais</v>
      </c>
      <c r="B180" s="10">
        <v>9926702.7200000007</v>
      </c>
      <c r="C180" s="10">
        <v>0</v>
      </c>
      <c r="D180" s="10">
        <v>9926702.7200000007</v>
      </c>
    </row>
    <row r="181" spans="1:4" x14ac:dyDescent="0.25">
      <c r="A181" s="2" t="str">
        <f>"2.2.4.01.05- INSS Segurados"</f>
        <v>2.2.4.01.05- INSS Segurados</v>
      </c>
      <c r="B181" s="10">
        <v>941854.94</v>
      </c>
      <c r="C181" s="10">
        <v>0</v>
      </c>
      <c r="D181" s="10">
        <v>941854.94</v>
      </c>
    </row>
    <row r="182" spans="1:4" x14ac:dyDescent="0.25">
      <c r="A182" s="2" t="str">
        <f>"2.2.4.04.00- ACOES JUDICIAIS E TRABALHISTAS"</f>
        <v>2.2.4.04.00- ACOES JUDICIAIS E TRABALHISTAS</v>
      </c>
      <c r="B182" s="10">
        <v>33725509.210000001</v>
      </c>
      <c r="C182" s="10">
        <v>0</v>
      </c>
      <c r="D182" s="10">
        <v>33725509.210000001</v>
      </c>
    </row>
    <row r="183" spans="1:4" x14ac:dyDescent="0.25">
      <c r="A183" s="2" t="str">
        <f>"2.2.4.04.01- Acoes judiciais"</f>
        <v>2.2.4.04.01- Acoes judiciais</v>
      </c>
      <c r="B183" s="10">
        <v>16494009.210000001</v>
      </c>
      <c r="C183" s="10">
        <v>0</v>
      </c>
      <c r="D183" s="10">
        <v>16494009.210000001</v>
      </c>
    </row>
    <row r="184" spans="1:4" x14ac:dyDescent="0.25">
      <c r="A184" s="2" t="str">
        <f>"2.2.4.04.02- Acoes trabalhistas"</f>
        <v>2.2.4.04.02- Acoes trabalhistas</v>
      </c>
      <c r="B184" s="10">
        <v>17231500</v>
      </c>
      <c r="C184" s="10">
        <v>0</v>
      </c>
      <c r="D184" s="10">
        <v>17231500</v>
      </c>
    </row>
    <row r="185" spans="1:4" x14ac:dyDescent="0.25">
      <c r="A185" s="2" t="str">
        <f>"2.2.5.00.00- OBRIGACOES VINC.  AO PAMEH"</f>
        <v>2.2.5.00.00- OBRIGACOES VINC.  AO PAMEH</v>
      </c>
      <c r="B185" s="10">
        <v>3460407.54</v>
      </c>
      <c r="C185" s="10">
        <v>-65577.3</v>
      </c>
      <c r="D185" s="10">
        <v>3394830.24</v>
      </c>
    </row>
    <row r="186" spans="1:4" x14ac:dyDescent="0.25">
      <c r="A186" s="2" t="str">
        <f>"2.2.5.01.00- OBRIGACOES VINC.  AO PAMEH"</f>
        <v>2.2.5.01.00- OBRIGACOES VINC.  AO PAMEH</v>
      </c>
      <c r="B186" s="10">
        <v>3460407.54</v>
      </c>
      <c r="C186" s="10">
        <v>-65577.3</v>
      </c>
      <c r="D186" s="10">
        <v>3394830.24</v>
      </c>
    </row>
    <row r="187" spans="1:4" x14ac:dyDescent="0.25">
      <c r="A187" s="2" t="str">
        <f>"2.2.5.01.01- Resultado Exerc.Anteriores-PAMEH"</f>
        <v>2.2.5.01.01- Resultado Exerc.Anteriores-PAMEH</v>
      </c>
      <c r="B187" s="10">
        <v>3478307.51</v>
      </c>
      <c r="C187" s="10">
        <v>0</v>
      </c>
      <c r="D187" s="10">
        <v>3478307.51</v>
      </c>
    </row>
    <row r="188" spans="1:4" x14ac:dyDescent="0.25">
      <c r="A188" s="2" t="str">
        <f>"2.2.5.01.02- Resultado deste Exercicio-PAMEH"</f>
        <v>2.2.5.01.02- Resultado deste Exercicio-PAMEH</v>
      </c>
      <c r="B188" s="10">
        <v>-17899.97</v>
      </c>
      <c r="C188" s="10">
        <v>-65577.3</v>
      </c>
      <c r="D188" s="10">
        <v>-83477.27</v>
      </c>
    </row>
    <row r="189" spans="1:4" x14ac:dyDescent="0.25">
      <c r="A189" s="2" t="str">
        <f>"2.4.0.00.00- PATRIMONIO LIQUIDO"</f>
        <v>2.4.0.00.00- PATRIMONIO LIQUIDO</v>
      </c>
      <c r="B189" s="10">
        <v>-76772492</v>
      </c>
      <c r="C189" s="10">
        <v>-48729.8</v>
      </c>
      <c r="D189" s="10">
        <v>-76821221.799999997</v>
      </c>
    </row>
    <row r="190" spans="1:4" x14ac:dyDescent="0.25">
      <c r="A190" s="2" t="str">
        <f>"2.4.1.00.00- CAPITAL SOCIAL"</f>
        <v>2.4.1.00.00- CAPITAL SOCIAL</v>
      </c>
      <c r="B190" s="10">
        <v>67418193.159999996</v>
      </c>
      <c r="C190" s="10">
        <v>0</v>
      </c>
      <c r="D190" s="10">
        <v>67418193.159999996</v>
      </c>
    </row>
    <row r="191" spans="1:4" x14ac:dyDescent="0.25">
      <c r="A191" s="2" t="str">
        <f>"2.4.1.02.00- CAPITAL REALIZADO"</f>
        <v>2.4.1.02.00- CAPITAL REALIZADO</v>
      </c>
      <c r="B191" s="10">
        <v>67418193.159999996</v>
      </c>
      <c r="C191" s="10">
        <v>0</v>
      </c>
      <c r="D191" s="10">
        <v>67418193.159999996</v>
      </c>
    </row>
    <row r="192" spans="1:4" x14ac:dyDescent="0.25">
      <c r="A192" s="2" t="str">
        <f>"2.4.1.02.01- Capital Subscrito"</f>
        <v>2.4.1.02.01- Capital Subscrito</v>
      </c>
      <c r="B192" s="10">
        <v>75000000</v>
      </c>
      <c r="C192" s="10">
        <v>0</v>
      </c>
      <c r="D192" s="10">
        <v>75000000</v>
      </c>
    </row>
    <row r="193" spans="1:4" x14ac:dyDescent="0.25">
      <c r="A193" s="2" t="str">
        <f>"2.4.1.02.04- Capital a Realizar"</f>
        <v>2.4.1.02.04- Capital a Realizar</v>
      </c>
      <c r="B193" s="10">
        <v>-7581806.8399999999</v>
      </c>
      <c r="C193" s="10">
        <v>0</v>
      </c>
      <c r="D193" s="10">
        <v>-7581806.8399999999</v>
      </c>
    </row>
    <row r="194" spans="1:4" x14ac:dyDescent="0.25">
      <c r="A194" s="2" t="str">
        <f>"2.4.3.00.00- RESULTADOS ACUMULADOS"</f>
        <v>2.4.3.00.00- RESULTADOS ACUMULADOS</v>
      </c>
      <c r="B194" s="10">
        <v>-144190685.16</v>
      </c>
      <c r="C194" s="10">
        <v>-48729.8</v>
      </c>
      <c r="D194" s="10">
        <v>-144239414.96000001</v>
      </c>
    </row>
    <row r="195" spans="1:4" x14ac:dyDescent="0.25">
      <c r="A195" s="2" t="str">
        <f>"2.4.3.01.00- LUCROS/PREJUIZOS ACUMULADOS"</f>
        <v>2.4.3.01.00- LUCROS/PREJUIZOS ACUMULADOS</v>
      </c>
      <c r="B195" s="10">
        <v>-144190685.16</v>
      </c>
      <c r="C195" s="10">
        <v>-48729.8</v>
      </c>
      <c r="D195" s="10">
        <v>-144239414.96000001</v>
      </c>
    </row>
    <row r="196" spans="1:4" x14ac:dyDescent="0.25">
      <c r="A196" s="2" t="str">
        <f>"2.4.3.01.01- Resultados de Exerc. Anteriores"</f>
        <v>2.4.3.01.01- Resultados de Exerc. Anteriores</v>
      </c>
      <c r="B196" s="10">
        <v>-144079394.25</v>
      </c>
      <c r="C196" s="10">
        <v>0</v>
      </c>
      <c r="D196" s="10">
        <v>-144079394.25</v>
      </c>
    </row>
    <row r="197" spans="1:4" x14ac:dyDescent="0.25">
      <c r="A197" s="2" t="str">
        <f>"2.4.3.01.03- Ajuste do Exercicio Anterior"</f>
        <v>2.4.3.01.03- Ajuste do Exercicio Anterior</v>
      </c>
      <c r="B197" s="10">
        <v>-111290.91</v>
      </c>
      <c r="C197" s="10">
        <v>-48729.8</v>
      </c>
      <c r="D197" s="10">
        <v>-160020.71</v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""</f>
        <v/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"DESPESAS"</f>
        <v>DESPESAS</v>
      </c>
      <c r="B205" s="3" t="str">
        <f>""</f>
        <v/>
      </c>
      <c r="C205" s="3" t="str">
        <f>""</f>
        <v/>
      </c>
      <c r="D205" s="3" t="str">
        <f>""</f>
        <v/>
      </c>
    </row>
    <row r="206" spans="1:4" x14ac:dyDescent="0.25">
      <c r="A206" s="2" t="str">
        <f>"3.0.0.00.00- DESPESAS"</f>
        <v>3.0.0.00.00- DESPESAS</v>
      </c>
      <c r="B206" s="10">
        <v>24426451.84</v>
      </c>
      <c r="C206" s="10">
        <v>13543390.34</v>
      </c>
      <c r="D206" s="10">
        <v>37969842.18</v>
      </c>
    </row>
    <row r="207" spans="1:4" x14ac:dyDescent="0.25">
      <c r="A207" s="2" t="str">
        <f>"3.1.0.00.00- DESPESAS OPERACIONAIS"</f>
        <v>3.1.0.00.00- DESPESAS OPERACIONAIS</v>
      </c>
      <c r="B207" s="10">
        <v>24426451.84</v>
      </c>
      <c r="C207" s="10">
        <v>13543390.34</v>
      </c>
      <c r="D207" s="10">
        <v>37969842.18</v>
      </c>
    </row>
    <row r="208" spans="1:4" x14ac:dyDescent="0.25">
      <c r="A208" s="2" t="str">
        <f>"3.1.1.00.00- SALARIOS ADICIONAIS E HONORARIOS"</f>
        <v>3.1.1.00.00- SALARIOS ADICIONAIS E HONORARIOS</v>
      </c>
      <c r="B208" s="10">
        <v>13781228.029999999</v>
      </c>
      <c r="C208" s="10">
        <v>6684192.2999999998</v>
      </c>
      <c r="D208" s="10">
        <v>20465420.329999998</v>
      </c>
    </row>
    <row r="209" spans="1:4" x14ac:dyDescent="0.25">
      <c r="A209" s="2" t="str">
        <f>"3.1.1.00.01- Honorarios diretoria"</f>
        <v>3.1.1.00.01- Honorarios diretoria</v>
      </c>
      <c r="B209" s="10">
        <v>178292.84</v>
      </c>
      <c r="C209" s="10">
        <v>76240.350000000006</v>
      </c>
      <c r="D209" s="10">
        <v>254533.19</v>
      </c>
    </row>
    <row r="210" spans="1:4" x14ac:dyDescent="0.25">
      <c r="A210" s="2" t="str">
        <f>"3.1.1.00.02- Honorarios conselho fiscal"</f>
        <v>3.1.1.00.02- Honorarios conselho fiscal</v>
      </c>
      <c r="B210" s="10">
        <v>10623</v>
      </c>
      <c r="C210" s="10">
        <v>5311.5</v>
      </c>
      <c r="D210" s="10">
        <v>15934.5</v>
      </c>
    </row>
    <row r="211" spans="1:4" x14ac:dyDescent="0.25">
      <c r="A211" s="2" t="str">
        <f>"3.1.1.00.03- Honorarios cons. administracao"</f>
        <v>3.1.1.00.03- Honorarios cons. administracao</v>
      </c>
      <c r="B211" s="10">
        <v>21227.42</v>
      </c>
      <c r="C211" s="10">
        <v>8532.59</v>
      </c>
      <c r="D211" s="10">
        <v>29760.01</v>
      </c>
    </row>
    <row r="212" spans="1:4" x14ac:dyDescent="0.25">
      <c r="A212" s="2" t="str">
        <f>"3.1.1.00.04- Salarios e adicionais"</f>
        <v>3.1.1.00.04- Salarios e adicionais</v>
      </c>
      <c r="B212" s="10">
        <v>11250881.619999999</v>
      </c>
      <c r="C212" s="10">
        <v>5354425.58</v>
      </c>
      <c r="D212" s="10">
        <v>16605307.199999999</v>
      </c>
    </row>
    <row r="213" spans="1:4" x14ac:dyDescent="0.25">
      <c r="A213" s="2" t="str">
        <f>"3.1.1.00.05- Ferias e abono pecuniario"</f>
        <v>3.1.1.00.05- Ferias e abono pecuniario</v>
      </c>
      <c r="B213" s="10">
        <v>1320042.18</v>
      </c>
      <c r="C213" s="10">
        <v>782051.82</v>
      </c>
      <c r="D213" s="10">
        <v>2102094</v>
      </c>
    </row>
    <row r="214" spans="1:4" x14ac:dyDescent="0.25">
      <c r="A214" s="2" t="str">
        <f>"3.1.1.00.06- Decimo terceiro salario"</f>
        <v>3.1.1.00.06- Decimo terceiro salario</v>
      </c>
      <c r="B214" s="10">
        <v>966730.56</v>
      </c>
      <c r="C214" s="10">
        <v>444201.93</v>
      </c>
      <c r="D214" s="10">
        <v>1410932.49</v>
      </c>
    </row>
    <row r="215" spans="1:4" x14ac:dyDescent="0.25">
      <c r="A215" s="2" t="str">
        <f>"3.1.1.00.07- Indenizacoes trabalhistas"</f>
        <v>3.1.1.00.07- Indenizacoes trabalhistas</v>
      </c>
      <c r="B215" s="10">
        <v>7631.24</v>
      </c>
      <c r="C215" s="10">
        <v>3270.53</v>
      </c>
      <c r="D215" s="10">
        <v>10901.77</v>
      </c>
    </row>
    <row r="216" spans="1:4" x14ac:dyDescent="0.25">
      <c r="A216" s="2" t="str">
        <f>"3.1.1.00.08- Bolsas de estagiario"</f>
        <v>3.1.1.00.08- Bolsas de estagiario</v>
      </c>
      <c r="B216" s="10">
        <v>25799.17</v>
      </c>
      <c r="C216" s="10">
        <v>10158</v>
      </c>
      <c r="D216" s="10">
        <v>35957.17</v>
      </c>
    </row>
    <row r="217" spans="1:4" x14ac:dyDescent="0.25">
      <c r="A217" s="2" t="str">
        <f>"3.1.2.01.00- ENCARGOS SOCIAIS"</f>
        <v>3.1.2.01.00- ENCARGOS SOCIAIS</v>
      </c>
      <c r="B217" s="10">
        <v>4868531.1399999997</v>
      </c>
      <c r="C217" s="10">
        <v>2375268.06</v>
      </c>
      <c r="D217" s="10">
        <v>7243799.2000000002</v>
      </c>
    </row>
    <row r="218" spans="1:4" x14ac:dyDescent="0.25">
      <c r="A218" s="2" t="str">
        <f>"3.1.2.01.01- INSS"</f>
        <v>3.1.2.01.01- INSS</v>
      </c>
      <c r="B218" s="10">
        <v>3755060.65</v>
      </c>
      <c r="C218" s="10">
        <v>1850807.32</v>
      </c>
      <c r="D218" s="10">
        <v>5605867.9699999997</v>
      </c>
    </row>
    <row r="219" spans="1:4" x14ac:dyDescent="0.25">
      <c r="A219" s="2" t="str">
        <f>"3.1.2.01.02- FGTS"</f>
        <v>3.1.2.01.02- FGTS</v>
      </c>
      <c r="B219" s="10">
        <v>1113470.49</v>
      </c>
      <c r="C219" s="10">
        <v>524460.74</v>
      </c>
      <c r="D219" s="10">
        <v>1637931.23</v>
      </c>
    </row>
    <row r="220" spans="1:4" x14ac:dyDescent="0.25">
      <c r="A220" s="2" t="str">
        <f>"3.1.2.02.00- OUTRAS DESPESAS COM PESSOAL"</f>
        <v>3.1.2.02.00- OUTRAS DESPESAS COM PESSOAL</v>
      </c>
      <c r="B220" s="10">
        <v>2422844.44</v>
      </c>
      <c r="C220" s="10">
        <v>1223296.8799999999</v>
      </c>
      <c r="D220" s="10">
        <v>3646141.32</v>
      </c>
    </row>
    <row r="221" spans="1:4" x14ac:dyDescent="0.25">
      <c r="A221" s="2" t="str">
        <f>"3.1.2.02.01- Seguros de Vida"</f>
        <v>3.1.2.02.01- Seguros de Vida</v>
      </c>
      <c r="B221" s="10">
        <v>37241.040000000001</v>
      </c>
      <c r="C221" s="10">
        <v>-2203.71</v>
      </c>
      <c r="D221" s="10">
        <v>35037.33</v>
      </c>
    </row>
    <row r="222" spans="1:4" x14ac:dyDescent="0.25">
      <c r="A222" s="2" t="str">
        <f>"3.1.2.02.02- Ass. Medica Odontologica"</f>
        <v>3.1.2.02.02- Ass. Medica Odontologica</v>
      </c>
      <c r="B222" s="10">
        <v>612049.1</v>
      </c>
      <c r="C222" s="10">
        <v>305690.37</v>
      </c>
      <c r="D222" s="10">
        <v>917739.47</v>
      </c>
    </row>
    <row r="223" spans="1:4" x14ac:dyDescent="0.25">
      <c r="A223" s="2" t="str">
        <f>"3.1.2.02.03- Vale Transporte"</f>
        <v>3.1.2.02.03- Vale Transporte</v>
      </c>
      <c r="B223" s="10">
        <v>104920.03</v>
      </c>
      <c r="C223" s="10">
        <v>86247.06</v>
      </c>
      <c r="D223" s="10">
        <v>191167.09</v>
      </c>
    </row>
    <row r="224" spans="1:4" x14ac:dyDescent="0.25">
      <c r="A224" s="2" t="str">
        <f>"3.1.2.02.04- Vale Refeicao/Alimentacao"</f>
        <v>3.1.2.02.04- Vale Refeicao/Alimentacao</v>
      </c>
      <c r="B224" s="10">
        <v>1607840.65</v>
      </c>
      <c r="C224" s="10">
        <v>800547.12</v>
      </c>
      <c r="D224" s="10">
        <v>2408387.77</v>
      </c>
    </row>
    <row r="225" spans="1:4" x14ac:dyDescent="0.25">
      <c r="A225" s="2" t="str">
        <f>"3.1.2.02.05- Compl. Auxilio Doenca"</f>
        <v>3.1.2.02.05- Compl. Auxilio Doenca</v>
      </c>
      <c r="B225" s="10">
        <v>16524.84</v>
      </c>
      <c r="C225" s="10">
        <v>8720.09</v>
      </c>
      <c r="D225" s="10">
        <v>25244.93</v>
      </c>
    </row>
    <row r="226" spans="1:4" x14ac:dyDescent="0.25">
      <c r="A226" s="2" t="str">
        <f>"3.1.2.02.06- Cursos e Treinamentos"</f>
        <v>3.1.2.02.06- Cursos e Treinamentos</v>
      </c>
      <c r="B226" s="10">
        <v>1706</v>
      </c>
      <c r="C226" s="10">
        <v>3117</v>
      </c>
      <c r="D226" s="10">
        <v>4823</v>
      </c>
    </row>
    <row r="227" spans="1:4" x14ac:dyDescent="0.25">
      <c r="A227" s="2" t="str">
        <f>"3.1.2.02.07- Auxilio Creche"</f>
        <v>3.1.2.02.07- Auxilio Creche</v>
      </c>
      <c r="B227" s="10">
        <v>42562.78</v>
      </c>
      <c r="C227" s="10">
        <v>21178.95</v>
      </c>
      <c r="D227" s="10">
        <v>63741.73</v>
      </c>
    </row>
    <row r="228" spans="1:4" x14ac:dyDescent="0.25">
      <c r="A228" s="2" t="str">
        <f>"3.1.3.00.00- MATERIAIS"</f>
        <v>3.1.3.00.00- MATERIAIS</v>
      </c>
      <c r="B228" s="10">
        <v>165945.57</v>
      </c>
      <c r="C228" s="10">
        <v>89223.64</v>
      </c>
      <c r="D228" s="10">
        <v>255169.21</v>
      </c>
    </row>
    <row r="229" spans="1:4" x14ac:dyDescent="0.25">
      <c r="A229" s="2" t="str">
        <f>"3.1.3.00.01- Bens de natureza permanente"</f>
        <v>3.1.3.00.01- Bens de natureza permanente</v>
      </c>
      <c r="B229" s="10">
        <v>2413.38</v>
      </c>
      <c r="C229" s="10">
        <v>370</v>
      </c>
      <c r="D229" s="10">
        <v>2783.38</v>
      </c>
    </row>
    <row r="230" spans="1:4" x14ac:dyDescent="0.25">
      <c r="A230" s="2" t="str">
        <f>"3.1.3.00.08- Material seguranca e uniformes"</f>
        <v>3.1.3.00.08- Material seguranca e uniformes</v>
      </c>
      <c r="B230" s="10">
        <v>1469.1</v>
      </c>
      <c r="C230" s="10">
        <v>550.79999999999995</v>
      </c>
      <c r="D230" s="10">
        <v>2019.9</v>
      </c>
    </row>
    <row r="231" spans="1:4" x14ac:dyDescent="0.25">
      <c r="A231" s="2" t="str">
        <f>"3.1.3.00.09- Material limp/conserv/copa/cozin"</f>
        <v>3.1.3.00.09- Material limp/conserv/copa/cozin</v>
      </c>
      <c r="B231" s="10">
        <v>20843.47</v>
      </c>
      <c r="C231" s="10">
        <v>13284.99</v>
      </c>
      <c r="D231" s="10">
        <v>34128.46</v>
      </c>
    </row>
    <row r="232" spans="1:4" x14ac:dyDescent="0.25">
      <c r="A232" s="2" t="str">
        <f>"3.1.3.00.10- Impressos e material de escritorio"</f>
        <v>3.1.3.00.10- Impressos e material de escritorio</v>
      </c>
      <c r="B232" s="10">
        <v>24264.37</v>
      </c>
      <c r="C232" s="10">
        <v>13488.2</v>
      </c>
      <c r="D232" s="10">
        <v>37752.57</v>
      </c>
    </row>
    <row r="233" spans="1:4" x14ac:dyDescent="0.25">
      <c r="A233" s="2" t="str">
        <f>"3.1.3.00.11- Materiais manut. inst. prediais"</f>
        <v>3.1.3.00.11- Materiais manut. inst. prediais</v>
      </c>
      <c r="B233" s="10">
        <v>48807.71</v>
      </c>
      <c r="C233" s="10">
        <v>24476.240000000002</v>
      </c>
      <c r="D233" s="10">
        <v>73283.95</v>
      </c>
    </row>
    <row r="234" spans="1:4" x14ac:dyDescent="0.25">
      <c r="A234" s="2" t="str">
        <f>"3.1.3.00.12- Carnes estacionamento rotativo"</f>
        <v>3.1.3.00.12- Carnes estacionamento rotativo</v>
      </c>
      <c r="B234" s="10">
        <v>59414.96</v>
      </c>
      <c r="C234" s="10">
        <v>33492.449999999997</v>
      </c>
      <c r="D234" s="10">
        <v>92907.41</v>
      </c>
    </row>
    <row r="235" spans="1:4" x14ac:dyDescent="0.25">
      <c r="A235" s="2" t="str">
        <f>"3.1.3.00.15- Materiais e supriment informatic"</f>
        <v>3.1.3.00.15- Materiais e supriment informatic</v>
      </c>
      <c r="B235" s="10">
        <v>8732.58</v>
      </c>
      <c r="C235" s="10">
        <v>3560.96</v>
      </c>
      <c r="D235" s="10">
        <v>12293.54</v>
      </c>
    </row>
    <row r="236" spans="1:4" x14ac:dyDescent="0.25">
      <c r="A236" s="2" t="str">
        <f>"3.1.4.00.00- SERVICOS PRESTADOS POR TERCEIROS"</f>
        <v>3.1.4.00.00- SERVICOS PRESTADOS POR TERCEIROS</v>
      </c>
      <c r="B236" s="10">
        <v>2281770.4700000002</v>
      </c>
      <c r="C236" s="10">
        <v>2765955.48</v>
      </c>
      <c r="D236" s="10">
        <v>5047725.95</v>
      </c>
    </row>
    <row r="237" spans="1:4" x14ac:dyDescent="0.25">
      <c r="A237" s="2" t="str">
        <f>"3.1.4.00.03- Locacao de equipamentos"</f>
        <v>3.1.4.00.03- Locacao de equipamentos</v>
      </c>
      <c r="B237" s="10">
        <v>6325.2</v>
      </c>
      <c r="C237" s="10">
        <v>6325.2</v>
      </c>
      <c r="D237" s="10">
        <v>12650.4</v>
      </c>
    </row>
    <row r="238" spans="1:4" x14ac:dyDescent="0.25">
      <c r="A238" s="2" t="str">
        <f>"3.1.4.00.10- Mao de obra contratada"</f>
        <v>3.1.4.00.10- Mao de obra contratada</v>
      </c>
      <c r="B238" s="10">
        <v>132486.74</v>
      </c>
      <c r="C238" s="10">
        <v>65461.73</v>
      </c>
      <c r="D238" s="10">
        <v>197948.47</v>
      </c>
    </row>
    <row r="239" spans="1:4" x14ac:dyDescent="0.25">
      <c r="A239" s="2" t="str">
        <f>"3.1.4.00.13- Publicidade e divulgacao"</f>
        <v>3.1.4.00.13- Publicidade e divulgacao</v>
      </c>
      <c r="B239" s="10">
        <v>12436.11</v>
      </c>
      <c r="C239" s="10">
        <v>20767.650000000001</v>
      </c>
      <c r="D239" s="10">
        <v>33203.760000000002</v>
      </c>
    </row>
    <row r="240" spans="1:4" x14ac:dyDescent="0.25">
      <c r="A240" s="2" t="str">
        <f>"3.1.4.00.14- Informatica-serv. e/ou locacao"</f>
        <v>3.1.4.00.14- Informatica-serv. e/ou locacao</v>
      </c>
      <c r="B240" s="10">
        <v>202225.76</v>
      </c>
      <c r="C240" s="10">
        <v>154912.01</v>
      </c>
      <c r="D240" s="10">
        <v>357137.77</v>
      </c>
    </row>
    <row r="241" spans="1:4" x14ac:dyDescent="0.25">
      <c r="A241" s="2" t="str">
        <f>"3.1.4.00.15- Outros serv. prestados - PF"</f>
        <v>3.1.4.00.15- Outros serv. prestados - PF</v>
      </c>
      <c r="B241" s="10">
        <v>12775.36</v>
      </c>
      <c r="C241" s="10">
        <v>5650.64</v>
      </c>
      <c r="D241" s="10">
        <v>18426</v>
      </c>
    </row>
    <row r="242" spans="1:4" x14ac:dyDescent="0.25">
      <c r="A242" s="2" t="str">
        <f>"3.1.4.00.16- Outros serv. Prestados - PJ"</f>
        <v>3.1.4.00.16- Outros serv. Prestados - PJ</v>
      </c>
      <c r="B242" s="10">
        <v>25273.360000000001</v>
      </c>
      <c r="C242" s="10">
        <v>33185.86</v>
      </c>
      <c r="D242" s="10">
        <v>58459.22</v>
      </c>
    </row>
    <row r="243" spans="1:4" x14ac:dyDescent="0.25">
      <c r="A243" s="2" t="str">
        <f>"3.1.4.00.17- Servicos postais"</f>
        <v>3.1.4.00.17- Servicos postais</v>
      </c>
      <c r="B243" s="10">
        <v>7649.43</v>
      </c>
      <c r="C243" s="10">
        <v>3631.89</v>
      </c>
      <c r="D243" s="10">
        <v>11281.32</v>
      </c>
    </row>
    <row r="244" spans="1:4" x14ac:dyDescent="0.25">
      <c r="A244" s="2" t="str">
        <f>"3.1.4.00.18- INSS s/servicos de terceiros"</f>
        <v>3.1.4.00.18- INSS s/servicos de terceiros</v>
      </c>
      <c r="B244" s="10">
        <v>4417.17</v>
      </c>
      <c r="C244" s="10">
        <v>2655.37</v>
      </c>
      <c r="D244" s="10">
        <v>7072.54</v>
      </c>
    </row>
    <row r="245" spans="1:4" x14ac:dyDescent="0.25">
      <c r="A245" s="2" t="str">
        <f>"3.1.4.00.19- Manut. imoveis/instal/equip.oper"</f>
        <v>3.1.4.00.19- Manut. imoveis/instal/equip.oper</v>
      </c>
      <c r="B245" s="10">
        <v>58312.44</v>
      </c>
      <c r="C245" s="10">
        <v>115600.12</v>
      </c>
      <c r="D245" s="10">
        <v>173912.56</v>
      </c>
    </row>
    <row r="246" spans="1:4" x14ac:dyDescent="0.25">
      <c r="A246" s="2" t="str">
        <f>"3.1.4.00.22- Consultoria tec.Operacional"</f>
        <v>3.1.4.00.22- Consultoria tec.Operacional</v>
      </c>
      <c r="B246" s="10">
        <v>2800</v>
      </c>
      <c r="C246" s="10">
        <v>0</v>
      </c>
      <c r="D246" s="10">
        <v>2800</v>
      </c>
    </row>
    <row r="247" spans="1:4" x14ac:dyDescent="0.25">
      <c r="A247" s="2" t="str">
        <f>"3.1.4.00.24- Loc.serv.mensageiro"</f>
        <v>3.1.4.00.24- Loc.serv.mensageiro</v>
      </c>
      <c r="B247" s="10">
        <v>4700</v>
      </c>
      <c r="C247" s="10">
        <v>4610</v>
      </c>
      <c r="D247" s="10">
        <v>9310</v>
      </c>
    </row>
    <row r="248" spans="1:4" x14ac:dyDescent="0.25">
      <c r="A248" s="2" t="str">
        <f>"3.1.4.00.26- Serv.limp.conserv."</f>
        <v>3.1.4.00.26- Serv.limp.conserv.</v>
      </c>
      <c r="B248" s="10">
        <v>1545978.51</v>
      </c>
      <c r="C248" s="10">
        <v>2268618.83</v>
      </c>
      <c r="D248" s="10">
        <v>3814597.34</v>
      </c>
    </row>
    <row r="249" spans="1:4" x14ac:dyDescent="0.25">
      <c r="A249" s="2" t="str">
        <f>"3.1.4.00.34- Comissao s/venda rotativo"</f>
        <v>3.1.4.00.34- Comissao s/venda rotativo</v>
      </c>
      <c r="B249" s="10">
        <v>132554.93</v>
      </c>
      <c r="C249" s="10">
        <v>71576.75</v>
      </c>
      <c r="D249" s="10">
        <v>204131.68</v>
      </c>
    </row>
    <row r="250" spans="1:4" x14ac:dyDescent="0.25">
      <c r="A250" s="2" t="str">
        <f>"3.1.4.00.36- (-) Desconto ISSQN conf Lei 9145 serv. P"</f>
        <v>3.1.4.00.36- (-) Desconto ISSQN conf Lei 9145 serv. P</v>
      </c>
      <c r="B250" s="10">
        <v>-29572.99</v>
      </c>
      <c r="C250" s="10">
        <v>-14400.57</v>
      </c>
      <c r="D250" s="10">
        <v>-43973.56</v>
      </c>
    </row>
    <row r="251" spans="1:4" x14ac:dyDescent="0.25">
      <c r="A251" s="2" t="str">
        <f>"3.1.4.00.39- Convênio Guarda Municipal"</f>
        <v>3.1.4.00.39- Convênio Guarda Municipal</v>
      </c>
      <c r="B251" s="10">
        <v>163408.45000000001</v>
      </c>
      <c r="C251" s="10">
        <v>27360</v>
      </c>
      <c r="D251" s="10">
        <v>190768.45</v>
      </c>
    </row>
    <row r="252" spans="1:4" x14ac:dyDescent="0.25">
      <c r="A252" s="2" t="str">
        <f>"3.1.5.00.00- TARIFAS PUBLICAS"</f>
        <v>3.1.5.00.00- TARIFAS PUBLICAS</v>
      </c>
      <c r="B252" s="10">
        <v>256697.88</v>
      </c>
      <c r="C252" s="10">
        <v>75713</v>
      </c>
      <c r="D252" s="10">
        <v>332410.88</v>
      </c>
    </row>
    <row r="253" spans="1:4" x14ac:dyDescent="0.25">
      <c r="A253" s="2" t="str">
        <f>"3.1.5.00.02- Energia eletrica"</f>
        <v>3.1.5.00.02- Energia eletrica</v>
      </c>
      <c r="B253" s="10">
        <v>202006.32</v>
      </c>
      <c r="C253" s="10">
        <v>45466.52</v>
      </c>
      <c r="D253" s="10">
        <v>247472.84</v>
      </c>
    </row>
    <row r="254" spans="1:4" x14ac:dyDescent="0.25">
      <c r="A254" s="2" t="str">
        <f>"3.1.5.00.03- Telefone"</f>
        <v>3.1.5.00.03- Telefone</v>
      </c>
      <c r="B254" s="10">
        <v>54691.56</v>
      </c>
      <c r="C254" s="10">
        <v>30246.48</v>
      </c>
      <c r="D254" s="10">
        <v>84938.04</v>
      </c>
    </row>
    <row r="255" spans="1:4" x14ac:dyDescent="0.25">
      <c r="A255" s="2" t="str">
        <f>"3.1.6.00.00- DESPESAS TRIBUTARIAS"</f>
        <v>3.1.6.00.00- DESPESAS TRIBUTARIAS</v>
      </c>
      <c r="B255" s="10">
        <v>460925</v>
      </c>
      <c r="C255" s="10">
        <v>231448.61</v>
      </c>
      <c r="D255" s="10">
        <v>692373.61</v>
      </c>
    </row>
    <row r="256" spans="1:4" x14ac:dyDescent="0.25">
      <c r="A256" s="2" t="str">
        <f>"3.1.6.00.03- IOF"</f>
        <v>3.1.6.00.03- IOF</v>
      </c>
      <c r="B256" s="10">
        <v>1178</v>
      </c>
      <c r="C256" s="10">
        <v>0</v>
      </c>
      <c r="D256" s="10">
        <v>1178</v>
      </c>
    </row>
    <row r="257" spans="1:4" x14ac:dyDescent="0.25">
      <c r="A257" s="2" t="str">
        <f>"3.1.6.00.06- PIS"</f>
        <v>3.1.6.00.06- PIS</v>
      </c>
      <c r="B257" s="10">
        <v>76620.94</v>
      </c>
      <c r="C257" s="10">
        <v>40321.35</v>
      </c>
      <c r="D257" s="10">
        <v>116942.29</v>
      </c>
    </row>
    <row r="258" spans="1:4" x14ac:dyDescent="0.25">
      <c r="A258" s="2" t="str">
        <f>"3.1.6.00.07- COFINS"</f>
        <v>3.1.6.00.07- COFINS</v>
      </c>
      <c r="B258" s="10">
        <v>352920.72</v>
      </c>
      <c r="C258" s="10">
        <v>185722.57</v>
      </c>
      <c r="D258" s="10">
        <v>538643.29</v>
      </c>
    </row>
    <row r="259" spans="1:4" x14ac:dyDescent="0.25">
      <c r="A259" s="2" t="str">
        <f>"3.1.6.00.08- Multas indedutiveis"</f>
        <v>3.1.6.00.08- Multas indedutiveis</v>
      </c>
      <c r="B259" s="10">
        <v>0.84</v>
      </c>
      <c r="C259" s="10">
        <v>0</v>
      </c>
      <c r="D259" s="10">
        <v>0.84</v>
      </c>
    </row>
    <row r="260" spans="1:4" x14ac:dyDescent="0.25">
      <c r="A260" s="2" t="str">
        <f>"3.1.6.00.10- ISS s/faturamento"</f>
        <v>3.1.6.00.10- ISS s/faturamento</v>
      </c>
      <c r="B260" s="10">
        <v>4167.55</v>
      </c>
      <c r="C260" s="10">
        <v>1788.2</v>
      </c>
      <c r="D260" s="10">
        <v>5955.75</v>
      </c>
    </row>
    <row r="261" spans="1:4" x14ac:dyDescent="0.25">
      <c r="A261" s="2" t="str">
        <f>"3.1.6.00.14- Contrib.entid.classe"</f>
        <v>3.1.6.00.14- Contrib.entid.classe</v>
      </c>
      <c r="B261" s="10">
        <v>21524.3</v>
      </c>
      <c r="C261" s="10">
        <v>756.54</v>
      </c>
      <c r="D261" s="10">
        <v>22280.84</v>
      </c>
    </row>
    <row r="262" spans="1:4" x14ac:dyDescent="0.25">
      <c r="A262" s="2" t="str">
        <f>"3.1.6.00.15- INSS Serv.terceiros"</f>
        <v>3.1.6.00.15- INSS Serv.terceiros</v>
      </c>
      <c r="B262" s="10">
        <v>2825.04</v>
      </c>
      <c r="C262" s="10">
        <v>1630.12</v>
      </c>
      <c r="D262" s="10">
        <v>4455.16</v>
      </c>
    </row>
    <row r="263" spans="1:4" x14ac:dyDescent="0.25">
      <c r="A263" s="2" t="str">
        <f>"3.1.6.00.17- PIS s/ receitas financeiras"</f>
        <v>3.1.6.00.17- PIS s/ receitas financeiras</v>
      </c>
      <c r="B263" s="10">
        <v>235.9</v>
      </c>
      <c r="C263" s="10">
        <v>171.91</v>
      </c>
      <c r="D263" s="10">
        <v>407.81</v>
      </c>
    </row>
    <row r="264" spans="1:4" x14ac:dyDescent="0.25">
      <c r="A264" s="2" t="str">
        <f>"3.1.6.00.18- Cofins s/ receitas financeiras"</f>
        <v>3.1.6.00.18- Cofins s/ receitas financeiras</v>
      </c>
      <c r="B264" s="10">
        <v>1451.71</v>
      </c>
      <c r="C264" s="10">
        <v>1057.92</v>
      </c>
      <c r="D264" s="10">
        <v>2509.63</v>
      </c>
    </row>
    <row r="265" spans="1:4" x14ac:dyDescent="0.25">
      <c r="A265" s="2" t="str">
        <f>"3.1.7.00.00- DESPESAS FINANCEIRAS"</f>
        <v>3.1.7.00.00- DESPESAS FINANCEIRAS</v>
      </c>
      <c r="B265" s="10">
        <v>1981.59</v>
      </c>
      <c r="C265" s="10">
        <v>1901.34</v>
      </c>
      <c r="D265" s="10">
        <v>3882.93</v>
      </c>
    </row>
    <row r="266" spans="1:4" x14ac:dyDescent="0.25">
      <c r="A266" s="2" t="str">
        <f>"3.1.7.01.02- Despesas bancarias"</f>
        <v>3.1.7.01.02- Despesas bancarias</v>
      </c>
      <c r="B266" s="10">
        <v>1981.59</v>
      </c>
      <c r="C266" s="10">
        <v>1901.34</v>
      </c>
      <c r="D266" s="10">
        <v>3882.93</v>
      </c>
    </row>
    <row r="267" spans="1:4" x14ac:dyDescent="0.25">
      <c r="A267" s="2" t="str">
        <f>"3.1.8.00.00- OUTRAS DESPESAS"</f>
        <v>3.1.8.00.00- OUTRAS DESPESAS</v>
      </c>
      <c r="B267" s="10">
        <v>186527.72</v>
      </c>
      <c r="C267" s="10">
        <v>96391.03</v>
      </c>
      <c r="D267" s="10">
        <v>282918.75</v>
      </c>
    </row>
    <row r="268" spans="1:4" x14ac:dyDescent="0.25">
      <c r="A268" s="2" t="str">
        <f>"3.1.8.00.01- Despesas de viagem"</f>
        <v>3.1.8.00.01- Despesas de viagem</v>
      </c>
      <c r="B268" s="10">
        <v>21088.560000000001</v>
      </c>
      <c r="C268" s="10">
        <v>3912.35</v>
      </c>
      <c r="D268" s="10">
        <v>25000.91</v>
      </c>
    </row>
    <row r="269" spans="1:4" x14ac:dyDescent="0.25">
      <c r="A269" s="2" t="str">
        <f>"3.1.8.00.05- Depreciacao/amort"</f>
        <v>3.1.8.00.05- Depreciacao/amort</v>
      </c>
      <c r="B269" s="10">
        <v>44148.86</v>
      </c>
      <c r="C269" s="10">
        <v>20920.04</v>
      </c>
      <c r="D269" s="10">
        <v>65068.9</v>
      </c>
    </row>
    <row r="270" spans="1:4" x14ac:dyDescent="0.25">
      <c r="A270" s="2" t="str">
        <f>"3.1.8.00.06- Seguros bens moveis e imoveis"</f>
        <v>3.1.8.00.06- Seguros bens moveis e imoveis</v>
      </c>
      <c r="B270" s="10">
        <v>2318</v>
      </c>
      <c r="C270" s="10">
        <v>680.19</v>
      </c>
      <c r="D270" s="10">
        <v>2998.19</v>
      </c>
    </row>
    <row r="271" spans="1:4" x14ac:dyDescent="0.25">
      <c r="A271" s="2" t="str">
        <f>"3.1.8.00.08- Alugueis e condominio"</f>
        <v>3.1.8.00.08- Alugueis e condominio</v>
      </c>
      <c r="B271" s="10">
        <v>10143.620000000001</v>
      </c>
      <c r="C271" s="10">
        <v>5071.8100000000004</v>
      </c>
      <c r="D271" s="10">
        <v>15215.43</v>
      </c>
    </row>
    <row r="272" spans="1:4" x14ac:dyDescent="0.25">
      <c r="A272" s="2" t="str">
        <f>"3.1.8.00.12- Acoes judiciais terceiros"</f>
        <v>3.1.8.00.12- Acoes judiciais terceiros</v>
      </c>
      <c r="B272" s="10">
        <v>38800</v>
      </c>
      <c r="C272" s="10">
        <v>27712.29</v>
      </c>
      <c r="D272" s="10">
        <v>66512.289999999994</v>
      </c>
    </row>
    <row r="273" spans="1:4" x14ac:dyDescent="0.25">
      <c r="A273" s="2" t="str">
        <f>"3.1.8.00.17- Gastos com eventos e promocoes"</f>
        <v>3.1.8.00.17- Gastos com eventos e promocoes</v>
      </c>
      <c r="B273" s="10">
        <v>1350</v>
      </c>
      <c r="C273" s="10">
        <v>439.98</v>
      </c>
      <c r="D273" s="10">
        <v>1789.98</v>
      </c>
    </row>
    <row r="274" spans="1:4" x14ac:dyDescent="0.25">
      <c r="A274" s="2" t="str">
        <f>"3.1.8.00.18- Provisao para perdas"</f>
        <v>3.1.8.00.18- Provisao para perdas</v>
      </c>
      <c r="B274" s="10">
        <v>61188.28</v>
      </c>
      <c r="C274" s="10">
        <v>30371.040000000001</v>
      </c>
      <c r="D274" s="10">
        <v>91559.32</v>
      </c>
    </row>
    <row r="275" spans="1:4" x14ac:dyDescent="0.25">
      <c r="A275" s="2" t="str">
        <f>"3.1.8.00.23- Custas/Despesas Judiciais"</f>
        <v>3.1.8.00.23- Custas/Despesas Judiciais</v>
      </c>
      <c r="B275" s="10">
        <v>7648.87</v>
      </c>
      <c r="C275" s="10">
        <v>7124.86</v>
      </c>
      <c r="D275" s="10">
        <v>14773.73</v>
      </c>
    </row>
    <row r="276" spans="1:4" x14ac:dyDescent="0.25">
      <c r="A276" s="2" t="str">
        <f>"3.1.8.00.99- Despesas diversas"</f>
        <v>3.1.8.00.99- Despesas diversas</v>
      </c>
      <c r="B276" s="10">
        <v>-158.47</v>
      </c>
      <c r="C276" s="10">
        <v>158.47</v>
      </c>
      <c r="D276" s="10">
        <v>0</v>
      </c>
    </row>
    <row r="277" spans="1:4" x14ac:dyDescent="0.25">
      <c r="A277" s="2" t="str">
        <f>""</f>
        <v/>
      </c>
      <c r="B277" s="3" t="str">
        <f>""</f>
        <v/>
      </c>
      <c r="C277" s="3" t="str">
        <f>""</f>
        <v/>
      </c>
      <c r="D277" s="3" t="str">
        <f>""</f>
        <v/>
      </c>
    </row>
    <row r="278" spans="1:4" x14ac:dyDescent="0.25">
      <c r="A278" s="2" t="str">
        <f>""</f>
        <v/>
      </c>
      <c r="B278" s="3" t="str">
        <f>""</f>
        <v/>
      </c>
      <c r="C278" s="3" t="str">
        <f>""</f>
        <v/>
      </c>
      <c r="D278" s="3" t="str">
        <f>""</f>
        <v/>
      </c>
    </row>
    <row r="279" spans="1:4" x14ac:dyDescent="0.25">
      <c r="A279" s="2" t="str">
        <f>""</f>
        <v/>
      </c>
      <c r="B279" s="3" t="str">
        <f>""</f>
        <v/>
      </c>
      <c r="C279" s="3" t="str">
        <f>""</f>
        <v/>
      </c>
      <c r="D279" s="3" t="str">
        <f>""</f>
        <v/>
      </c>
    </row>
    <row r="280" spans="1:4" x14ac:dyDescent="0.25">
      <c r="A280" s="2" t="str">
        <f>""</f>
        <v/>
      </c>
      <c r="B280" s="3" t="str">
        <f>""</f>
        <v/>
      </c>
      <c r="C280" s="3" t="str">
        <f>""</f>
        <v/>
      </c>
      <c r="D280" s="3" t="str">
        <f>""</f>
        <v/>
      </c>
    </row>
    <row r="281" spans="1:4" x14ac:dyDescent="0.25">
      <c r="A281" s="2" t="str">
        <f>""</f>
        <v/>
      </c>
      <c r="B281" s="3" t="str">
        <f>""</f>
        <v/>
      </c>
      <c r="C281" s="3" t="str">
        <f>""</f>
        <v/>
      </c>
      <c r="D281" s="3" t="str">
        <f>""</f>
        <v/>
      </c>
    </row>
    <row r="282" spans="1:4" x14ac:dyDescent="0.25">
      <c r="A282" s="2" t="str">
        <f>""</f>
        <v/>
      </c>
      <c r="B282" s="3" t="str">
        <f>""</f>
        <v/>
      </c>
      <c r="C282" s="3" t="str">
        <f>""</f>
        <v/>
      </c>
      <c r="D282" s="3" t="str">
        <f>""</f>
        <v/>
      </c>
    </row>
    <row r="283" spans="1:4" x14ac:dyDescent="0.25">
      <c r="A283" s="2" t="str">
        <f>""</f>
        <v/>
      </c>
      <c r="B283" s="3" t="str">
        <f>""</f>
        <v/>
      </c>
      <c r="C283" s="3" t="str">
        <f>""</f>
        <v/>
      </c>
      <c r="D283" s="3" t="str">
        <f>""</f>
        <v/>
      </c>
    </row>
    <row r="284" spans="1:4" x14ac:dyDescent="0.25">
      <c r="A284" s="2" t="str">
        <f>""</f>
        <v/>
      </c>
      <c r="B284" s="3" t="str">
        <f>""</f>
        <v/>
      </c>
      <c r="C284" s="3" t="str">
        <f>""</f>
        <v/>
      </c>
      <c r="D284" s="3" t="str">
        <f>""</f>
        <v/>
      </c>
    </row>
    <row r="285" spans="1:4" x14ac:dyDescent="0.25">
      <c r="A285" s="2" t="str">
        <f>""</f>
        <v/>
      </c>
      <c r="B285" s="3" t="str">
        <f>""</f>
        <v/>
      </c>
      <c r="C285" s="3" t="str">
        <f>""</f>
        <v/>
      </c>
      <c r="D285" s="3" t="str">
        <f>""</f>
        <v/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"RECEITAS"</f>
        <v>RECEITAS</v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"4.0.0.00.00- RECEITAS"</f>
        <v>4.0.0.00.00- RECEITAS</v>
      </c>
      <c r="B288" s="10">
        <v>23902004.260000002</v>
      </c>
      <c r="C288" s="10">
        <v>13277542.380000001</v>
      </c>
      <c r="D288" s="10">
        <v>37179546.640000001</v>
      </c>
    </row>
    <row r="289" spans="1:4" x14ac:dyDescent="0.25">
      <c r="A289" s="2" t="str">
        <f>"4.1.0.00.00- RECEITAS BHTRANS"</f>
        <v>4.1.0.00.00- RECEITAS BHTRANS</v>
      </c>
      <c r="B289" s="10">
        <v>23433841.539999999</v>
      </c>
      <c r="C289" s="10">
        <v>13115303.060000001</v>
      </c>
      <c r="D289" s="10">
        <v>36549144.600000001</v>
      </c>
    </row>
    <row r="290" spans="1:4" x14ac:dyDescent="0.25">
      <c r="A290" s="2" t="str">
        <f>"4.1.1.00.00- RECEITAS OPERACIONAIS"</f>
        <v>4.1.1.00.00- RECEITAS OPERACIONAIS</v>
      </c>
      <c r="B290" s="10">
        <v>23326870.510000002</v>
      </c>
      <c r="C290" s="10">
        <v>13079913.949999999</v>
      </c>
      <c r="D290" s="10">
        <v>36406784.460000001</v>
      </c>
    </row>
    <row r="291" spans="1:4" x14ac:dyDescent="0.25">
      <c r="A291" s="2" t="str">
        <f>"4.1.1.00.05- Midia taxi, escolar e suplementar"</f>
        <v>4.1.1.00.05- Midia taxi, escolar e suplementar</v>
      </c>
      <c r="B291" s="10">
        <v>5118.8999999999996</v>
      </c>
      <c r="C291" s="10">
        <v>1281.42</v>
      </c>
      <c r="D291" s="10">
        <v>6400.32</v>
      </c>
    </row>
    <row r="292" spans="1:4" x14ac:dyDescent="0.25">
      <c r="A292" s="2" t="str">
        <f>"4.1.1.00.06- Midia em onibus"</f>
        <v>4.1.1.00.06- Midia em onibus</v>
      </c>
      <c r="B292" s="10">
        <v>113175.69</v>
      </c>
      <c r="C292" s="10">
        <v>50220.13</v>
      </c>
      <c r="D292" s="10">
        <v>163395.82</v>
      </c>
    </row>
    <row r="293" spans="1:4" x14ac:dyDescent="0.25">
      <c r="A293" s="2" t="str">
        <f>"4.1.1.00.07- Midias diversas"</f>
        <v>4.1.1.00.07- Midias diversas</v>
      </c>
      <c r="B293" s="10">
        <v>20519.13</v>
      </c>
      <c r="C293" s="10">
        <v>8104.56</v>
      </c>
      <c r="D293" s="10">
        <v>28623.69</v>
      </c>
    </row>
    <row r="294" spans="1:4" x14ac:dyDescent="0.25">
      <c r="A294" s="2" t="str">
        <f>"4.1.1.00.08- Estacionamento Rotativo"</f>
        <v>4.1.1.00.08- Estacionamento Rotativo</v>
      </c>
      <c r="B294" s="10">
        <v>3306155.6</v>
      </c>
      <c r="C294" s="10">
        <v>1782633.6</v>
      </c>
      <c r="D294" s="10">
        <v>5088789.2</v>
      </c>
    </row>
    <row r="295" spans="1:4" x14ac:dyDescent="0.25">
      <c r="A295" s="2" t="str">
        <f>"4.1.1.00.10- Transf. financeira PBH"</f>
        <v>4.1.1.00.10- Transf. financeira PBH</v>
      </c>
      <c r="B295" s="10">
        <v>19222017.850000001</v>
      </c>
      <c r="C295" s="10">
        <v>10807376.24</v>
      </c>
      <c r="D295" s="10">
        <v>30029394.09</v>
      </c>
    </row>
    <row r="296" spans="1:4" x14ac:dyDescent="0.25">
      <c r="A296" s="2" t="str">
        <f>"4.1.1.00.16- Multas transporte coletivo"</f>
        <v>4.1.1.00.16- Multas transporte coletivo</v>
      </c>
      <c r="B296" s="10">
        <v>611882.78</v>
      </c>
      <c r="C296" s="10">
        <v>303710.34999999998</v>
      </c>
      <c r="D296" s="10">
        <v>915593.13</v>
      </c>
    </row>
    <row r="297" spans="1:4" x14ac:dyDescent="0.25">
      <c r="A297" s="2" t="str">
        <f>"4.1.1.00.17- Multas transporte publico"</f>
        <v>4.1.1.00.17- Multas transporte publico</v>
      </c>
      <c r="B297" s="10">
        <v>42262.28</v>
      </c>
      <c r="C297" s="10">
        <v>84810.94</v>
      </c>
      <c r="D297" s="10">
        <v>127073.22</v>
      </c>
    </row>
    <row r="298" spans="1:4" x14ac:dyDescent="0.25">
      <c r="A298" s="2" t="str">
        <f>"4.1.1.00.19- Subconcessao frotas de taxi"</f>
        <v>4.1.1.00.19- Subconcessao frotas de taxi</v>
      </c>
      <c r="B298" s="10">
        <v>5738.28</v>
      </c>
      <c r="C298" s="10">
        <v>41776.71</v>
      </c>
      <c r="D298" s="10">
        <v>47514.99</v>
      </c>
    </row>
    <row r="299" spans="1:4" x14ac:dyDescent="0.25">
      <c r="A299" s="2" t="str">
        <f>"4.1.8.00.00- RECEITAS ALUGUEIS ESTACOES"</f>
        <v>4.1.8.00.00- RECEITAS ALUGUEIS ESTACOES</v>
      </c>
      <c r="B299" s="10">
        <v>106971.03</v>
      </c>
      <c r="C299" s="10">
        <v>35389.11</v>
      </c>
      <c r="D299" s="10">
        <v>142360.14000000001</v>
      </c>
    </row>
    <row r="300" spans="1:4" x14ac:dyDescent="0.25">
      <c r="A300" s="2" t="str">
        <f>"4.1.8.00.01- Alugueis Estacoes"</f>
        <v>4.1.8.00.01- Alugueis Estacoes</v>
      </c>
      <c r="B300" s="10">
        <v>106971.03</v>
      </c>
      <c r="C300" s="10">
        <v>35389.11</v>
      </c>
      <c r="D300" s="10">
        <v>142360.14000000001</v>
      </c>
    </row>
    <row r="301" spans="1:4" x14ac:dyDescent="0.25">
      <c r="A301" s="2" t="str">
        <f>"4.2.0.00.00- RECEITAS FINANCEIRAS"</f>
        <v>4.2.0.00.00- RECEITAS FINANCEIRAS</v>
      </c>
      <c r="B301" s="10">
        <v>36292.81</v>
      </c>
      <c r="C301" s="10">
        <v>26448.06</v>
      </c>
      <c r="D301" s="10">
        <v>62740.87</v>
      </c>
    </row>
    <row r="302" spans="1:4" x14ac:dyDescent="0.25">
      <c r="A302" s="2" t="str">
        <f>"4.2.1.00.00- RECEITAS FINANCEIRAS"</f>
        <v>4.2.1.00.00- RECEITAS FINANCEIRAS</v>
      </c>
      <c r="B302" s="10">
        <v>36180.85</v>
      </c>
      <c r="C302" s="10">
        <v>26391.56</v>
      </c>
      <c r="D302" s="10">
        <v>62572.41</v>
      </c>
    </row>
    <row r="303" spans="1:4" x14ac:dyDescent="0.25">
      <c r="A303" s="2" t="str">
        <f>"4.2.1.00.01- Rendimentos aplic. Financeira"</f>
        <v>4.2.1.00.01- Rendimentos aplic. Financeira</v>
      </c>
      <c r="B303" s="10">
        <v>35795.230000000003</v>
      </c>
      <c r="C303" s="10">
        <v>26391.56</v>
      </c>
      <c r="D303" s="10">
        <v>62186.79</v>
      </c>
    </row>
    <row r="304" spans="1:4" x14ac:dyDescent="0.25">
      <c r="A304" s="2" t="str">
        <f>"4.2.1.00.02- Juros ativos"</f>
        <v>4.2.1.00.02- Juros ativos</v>
      </c>
      <c r="B304" s="10">
        <v>385.62</v>
      </c>
      <c r="C304" s="10">
        <v>0</v>
      </c>
      <c r="D304" s="10">
        <v>385.62</v>
      </c>
    </row>
    <row r="305" spans="1:4" x14ac:dyDescent="0.25">
      <c r="A305" s="2" t="str">
        <f>"4.2.2.00.00- VARIACOES MONETARIAS ATIVAS"</f>
        <v>4.2.2.00.00- VARIACOES MONETARIAS ATIVAS</v>
      </c>
      <c r="B305" s="10">
        <v>111.96</v>
      </c>
      <c r="C305" s="10">
        <v>56.5</v>
      </c>
      <c r="D305" s="10">
        <v>168.46</v>
      </c>
    </row>
    <row r="306" spans="1:4" x14ac:dyDescent="0.25">
      <c r="A306" s="2" t="str">
        <f>"4.2.2.00.01- Variações monetárias ativas"</f>
        <v>4.2.2.00.01- Variações monetárias ativas</v>
      </c>
      <c r="B306" s="10">
        <v>111.96</v>
      </c>
      <c r="C306" s="10">
        <v>56.5</v>
      </c>
      <c r="D306" s="10">
        <v>168.46</v>
      </c>
    </row>
    <row r="307" spans="1:4" x14ac:dyDescent="0.25">
      <c r="A307" s="2" t="str">
        <f>"4.3.0.00.00- OUTRAS RECEITAS"</f>
        <v>4.3.0.00.00- OUTRAS RECEITAS</v>
      </c>
      <c r="B307" s="10">
        <v>431869.91</v>
      </c>
      <c r="C307" s="10">
        <v>135791.26</v>
      </c>
      <c r="D307" s="10">
        <v>567661.17000000004</v>
      </c>
    </row>
    <row r="308" spans="1:4" x14ac:dyDescent="0.25">
      <c r="A308" s="2" t="str">
        <f>"4.3.1.00.00- OUTRAS RECEITAS"</f>
        <v>4.3.1.00.00- OUTRAS RECEITAS</v>
      </c>
      <c r="B308" s="10">
        <v>431869.91</v>
      </c>
      <c r="C308" s="10">
        <v>135791.26</v>
      </c>
      <c r="D308" s="10">
        <v>567661.17000000004</v>
      </c>
    </row>
    <row r="309" spans="1:4" x14ac:dyDescent="0.25">
      <c r="A309" s="2" t="str">
        <f>"4.3.1.00.04- Receitas Diversas"</f>
        <v>4.3.1.00.04- Receitas Diversas</v>
      </c>
      <c r="B309" s="10">
        <v>365727.74</v>
      </c>
      <c r="C309" s="10">
        <v>78630.59</v>
      </c>
      <c r="D309" s="10">
        <v>444358.33</v>
      </c>
    </row>
    <row r="310" spans="1:4" x14ac:dyDescent="0.25">
      <c r="A310" s="2" t="str">
        <f>"4.3.1.00.07- Concessão de Abrigo de ônibus"</f>
        <v>4.3.1.00.07- Concessão de Abrigo de ônibus</v>
      </c>
      <c r="B310" s="10">
        <v>66142.17</v>
      </c>
      <c r="C310" s="10">
        <v>57160.67</v>
      </c>
      <c r="D310" s="10">
        <v>123302.84</v>
      </c>
    </row>
    <row r="311" spans="1:4" x14ac:dyDescent="0.25">
      <c r="A311" s="2" t="str">
        <f>""</f>
        <v/>
      </c>
      <c r="B311" s="3" t="str">
        <f>""</f>
        <v/>
      </c>
      <c r="C311" s="3" t="str">
        <f>""</f>
        <v/>
      </c>
      <c r="D311" s="3" t="str">
        <f>""</f>
        <v/>
      </c>
    </row>
    <row r="312" spans="1:4" x14ac:dyDescent="0.25">
      <c r="A312" s="2" t="str">
        <f>""</f>
        <v/>
      </c>
      <c r="B312" s="3" t="str">
        <f>""</f>
        <v/>
      </c>
      <c r="C312" s="3" t="str">
        <f>""</f>
        <v/>
      </c>
      <c r="D312" s="3" t="str">
        <f>""</f>
        <v/>
      </c>
    </row>
    <row r="313" spans="1:4" x14ac:dyDescent="0.25">
      <c r="A313" s="2" t="str">
        <f>""</f>
        <v/>
      </c>
      <c r="B313" s="3" t="str">
        <f>""</f>
        <v/>
      </c>
      <c r="C313" s="3" t="str">
        <f>""</f>
        <v/>
      </c>
      <c r="D313" s="3" t="str">
        <f>""</f>
        <v/>
      </c>
    </row>
    <row r="314" spans="1:4" x14ac:dyDescent="0.25">
      <c r="A314" s="2" t="str">
        <f>""</f>
        <v/>
      </c>
      <c r="B314" s="3" t="str">
        <f>""</f>
        <v/>
      </c>
      <c r="C314" s="3" t="str">
        <f>""</f>
        <v/>
      </c>
      <c r="D314" s="3" t="str">
        <f>""</f>
        <v/>
      </c>
    </row>
    <row r="315" spans="1:4" x14ac:dyDescent="0.25">
      <c r="A315" s="2" t="str">
        <f>""</f>
        <v/>
      </c>
      <c r="B315" s="3" t="str">
        <f>""</f>
        <v/>
      </c>
      <c r="C315" s="3" t="str">
        <f>""</f>
        <v/>
      </c>
      <c r="D315" s="3" t="str">
        <f>""</f>
        <v/>
      </c>
    </row>
    <row r="316" spans="1:4" x14ac:dyDescent="0.25">
      <c r="A316" s="2" t="str">
        <f>""</f>
        <v/>
      </c>
      <c r="B316" s="3" t="str">
        <f>""</f>
        <v/>
      </c>
      <c r="C316" s="3" t="str">
        <f>""</f>
        <v/>
      </c>
      <c r="D316" s="3" t="str">
        <f>""</f>
        <v/>
      </c>
    </row>
    <row r="317" spans="1:4" x14ac:dyDescent="0.25">
      <c r="A317" s="2" t="str">
        <f>""</f>
        <v/>
      </c>
      <c r="B317" s="3" t="str">
        <f>""</f>
        <v/>
      </c>
      <c r="C317" s="3" t="str">
        <f>""</f>
        <v/>
      </c>
      <c r="D317" s="3" t="str">
        <f>""</f>
        <v/>
      </c>
    </row>
    <row r="318" spans="1:4" x14ac:dyDescent="0.25">
      <c r="A318" s="2" t="str">
        <f>""</f>
        <v/>
      </c>
      <c r="B318" s="3" t="str">
        <f>""</f>
        <v/>
      </c>
      <c r="C318" s="3" t="str">
        <f>""</f>
        <v/>
      </c>
      <c r="D318" s="3" t="str">
        <f>""</f>
        <v/>
      </c>
    </row>
    <row r="319" spans="1:4" x14ac:dyDescent="0.25">
      <c r="A319" s="2" t="str">
        <f>""</f>
        <v/>
      </c>
      <c r="B319" s="3" t="str">
        <f>""</f>
        <v/>
      </c>
      <c r="C319" s="3" t="str">
        <f>""</f>
        <v/>
      </c>
      <c r="D319" s="3" t="str">
        <f>""</f>
        <v/>
      </c>
    </row>
    <row r="320" spans="1:4" x14ac:dyDescent="0.25">
      <c r="A320" s="2" t="str">
        <f>""</f>
        <v/>
      </c>
      <c r="B320" s="3" t="str">
        <f>""</f>
        <v/>
      </c>
      <c r="C320" s="3" t="str">
        <f>""</f>
        <v/>
      </c>
      <c r="D320" s="3" t="str">
        <f>""</f>
        <v/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ht="15.75" thickBot="1" x14ac:dyDescent="0.3">
      <c r="A335" s="4" t="str">
        <f>"APURACAO DE RESULTADOS"</f>
        <v>APURACAO DE RESULTADOS</v>
      </c>
      <c r="B335" s="5" t="str">
        <f>""</f>
        <v/>
      </c>
      <c r="C335" s="5" t="str">
        <f>""</f>
        <v/>
      </c>
      <c r="D335" s="5" t="str">
        <f>""</f>
        <v/>
      </c>
    </row>
    <row r="336" spans="1:4" x14ac:dyDescent="0.25">
      <c r="A336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workbookViewId="0">
      <selection activeCell="G12" sqref="G12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8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39633802.960000001</v>
      </c>
      <c r="C4" s="10">
        <v>895624.69</v>
      </c>
      <c r="D4" s="10">
        <v>40529427.649999999</v>
      </c>
    </row>
    <row r="5" spans="1:4" x14ac:dyDescent="0.25">
      <c r="A5" s="2" t="str">
        <f>"1.1.0.00.00- ATIVO CIRCULANTE"</f>
        <v>1.1.0.00.00- ATIVO CIRCULANTE</v>
      </c>
      <c r="B5" s="10">
        <v>19254256.530000001</v>
      </c>
      <c r="C5" s="10">
        <v>111975.24</v>
      </c>
      <c r="D5" s="10">
        <v>19366231.77</v>
      </c>
    </row>
    <row r="6" spans="1:4" x14ac:dyDescent="0.25">
      <c r="A6" s="2" t="str">
        <f>"1.1.1.00.00- DISPONIVEL"</f>
        <v>1.1.1.00.00- DISPONIVEL</v>
      </c>
      <c r="B6" s="10">
        <v>8997253.6099999994</v>
      </c>
      <c r="C6" s="10">
        <v>1446355.14</v>
      </c>
      <c r="D6" s="10">
        <v>10443608.75</v>
      </c>
    </row>
    <row r="7" spans="1:4" x14ac:dyDescent="0.25">
      <c r="A7" s="2" t="str">
        <f>"1.1.1.01.00- CAIXA GERAL"</f>
        <v>1.1.1.01.00- CAIXA GERAL</v>
      </c>
      <c r="B7" s="10">
        <v>1600</v>
      </c>
      <c r="C7" s="10">
        <v>0</v>
      </c>
      <c r="D7" s="10">
        <v>1600</v>
      </c>
    </row>
    <row r="8" spans="1:4" x14ac:dyDescent="0.25">
      <c r="A8" s="2" t="str">
        <f>"1.1.1.01.04- Caixa - Georf"</f>
        <v>1.1.1.01.04- Caixa - Georf</v>
      </c>
      <c r="B8" s="10">
        <v>520</v>
      </c>
      <c r="C8" s="10">
        <v>0</v>
      </c>
      <c r="D8" s="10">
        <v>520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600</v>
      </c>
      <c r="C10" s="10">
        <v>0</v>
      </c>
      <c r="D10" s="10">
        <v>600</v>
      </c>
    </row>
    <row r="11" spans="1:4" x14ac:dyDescent="0.25">
      <c r="A11" s="2" t="str">
        <f>"1.1.1.02.00- BANCOS C/MOVIMENTO"</f>
        <v>1.1.1.02.00- BANCOS C/MOVIMENTO</v>
      </c>
      <c r="B11" s="10">
        <v>217573.57</v>
      </c>
      <c r="C11" s="10">
        <v>153921.85</v>
      </c>
      <c r="D11" s="10">
        <v>371495.42</v>
      </c>
    </row>
    <row r="12" spans="1:4" x14ac:dyDescent="0.25">
      <c r="A12" s="2" t="str">
        <f>"1.1.1.02.11- Banco do Brasil S/A - 720.000-5"</f>
        <v>1.1.1.02.11- Banco do Brasil S/A - 720.000-5</v>
      </c>
      <c r="B12" s="10">
        <v>0</v>
      </c>
      <c r="C12" s="10">
        <v>10.8</v>
      </c>
      <c r="D12" s="10">
        <v>10.8</v>
      </c>
    </row>
    <row r="13" spans="1:4" x14ac:dyDescent="0.25">
      <c r="A13" s="2" t="str">
        <f>"1.1.1.02.12- Banco do Brasil S/A - 720.001-3"</f>
        <v>1.1.1.02.12- Banco do Brasil S/A - 720.001-3</v>
      </c>
      <c r="B13" s="10">
        <v>491.06</v>
      </c>
      <c r="C13" s="10">
        <v>570.14</v>
      </c>
      <c r="D13" s="10">
        <v>1061.2</v>
      </c>
    </row>
    <row r="14" spans="1:4" x14ac:dyDescent="0.25">
      <c r="A14" s="2" t="str">
        <f>"1.1.1.02.29- Caixa Econômica Federal - 3289-3 Arrecad"</f>
        <v>1.1.1.02.29- Caixa Econômica Federal - 3289-3 Arrecad</v>
      </c>
      <c r="B14" s="10">
        <v>15968.22</v>
      </c>
      <c r="C14" s="10">
        <v>19018.46</v>
      </c>
      <c r="D14" s="10">
        <v>34986.68</v>
      </c>
    </row>
    <row r="15" spans="1:4" x14ac:dyDescent="0.25">
      <c r="A15" s="2" t="str">
        <f>"1.1.1.02.30- Caixa Econômica Federal - 3291-5 Movimen"</f>
        <v>1.1.1.02.30- Caixa Econômica Federal - 3291-5 Movimen</v>
      </c>
      <c r="B15" s="10">
        <v>0</v>
      </c>
      <c r="C15" s="10">
        <v>-35.92</v>
      </c>
      <c r="D15" s="10">
        <v>-35.92</v>
      </c>
    </row>
    <row r="16" spans="1:4" x14ac:dyDescent="0.25">
      <c r="A16" s="2" t="str">
        <f>"1.1.1.02.32- Caixa Econômica Federal - 3292-3 Leilão"</f>
        <v>1.1.1.02.32- Caixa Econômica Federal - 3292-3 Leilão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"1.1.1.02.37- Caixa Econômica Federal - 3299-0Leilão16"</f>
        <v>1.1.1.02.37- Caixa Econômica Federal - 3299-0Leilão16</v>
      </c>
      <c r="B17" s="10">
        <v>80</v>
      </c>
      <c r="C17" s="10">
        <v>0</v>
      </c>
      <c r="D17" s="10">
        <v>80</v>
      </c>
    </row>
    <row r="18" spans="1:4" x14ac:dyDescent="0.25">
      <c r="A18" s="2" t="str">
        <f>"1.1.1.02.39- Caixa Econômica Federal - 3301-6 Mídia"</f>
        <v>1.1.1.02.39- Caixa Econômica Federal - 3301-6 Mídia</v>
      </c>
      <c r="B18" s="10">
        <v>1132.26</v>
      </c>
      <c r="C18" s="10">
        <v>0</v>
      </c>
      <c r="D18" s="10">
        <v>1132.26</v>
      </c>
    </row>
    <row r="19" spans="1:4" x14ac:dyDescent="0.25">
      <c r="A19" s="2" t="str">
        <f>"1.1.1.02.40- Caixa Econômica Federal - 3302-4 Mídia"</f>
        <v>1.1.1.02.40- Caixa Econômica Federal - 3302-4 Mídia</v>
      </c>
      <c r="B19" s="10">
        <v>50220.13</v>
      </c>
      <c r="C19" s="10">
        <v>6132</v>
      </c>
      <c r="D19" s="10">
        <v>56352.13</v>
      </c>
    </row>
    <row r="20" spans="1:4" x14ac:dyDescent="0.25">
      <c r="A20" s="2" t="str">
        <f>"1.1.1.02.41- Caixa Econômica Federal - 3303-2Rotativo"</f>
        <v>1.1.1.02.41- Caixa Econômica Federal - 3303-2Rotativo</v>
      </c>
      <c r="B20" s="10">
        <v>134687.9</v>
      </c>
      <c r="C20" s="10">
        <v>130680.28</v>
      </c>
      <c r="D20" s="10">
        <v>265368.18</v>
      </c>
    </row>
    <row r="21" spans="1:4" x14ac:dyDescent="0.25">
      <c r="A21" s="2" t="str">
        <f>"1.1.1.02.42- Caixa Econômica Federal - 3304-0Caução"</f>
        <v>1.1.1.02.42- Caixa Econômica Federal - 3304-0Caução</v>
      </c>
      <c r="B21" s="10">
        <v>0</v>
      </c>
      <c r="C21" s="10">
        <v>474.6</v>
      </c>
      <c r="D21" s="10">
        <v>474.6</v>
      </c>
    </row>
    <row r="22" spans="1:4" x14ac:dyDescent="0.25">
      <c r="A22" s="2" t="str">
        <f>"1.1.1.02.43- Caixa Econômica Federal - 3305-9Sucumb."</f>
        <v>1.1.1.02.43- Caixa Econômica Federal - 3305-9Sucumb.</v>
      </c>
      <c r="B22" s="10">
        <v>0</v>
      </c>
      <c r="C22" s="10">
        <v>4595.49</v>
      </c>
      <c r="D22" s="10">
        <v>4595.49</v>
      </c>
    </row>
    <row r="23" spans="1:4" x14ac:dyDescent="0.25">
      <c r="A23" s="2" t="str">
        <f>"1.1.1.02.46- Caixa Econômica Federal - 3309-1 Rot int"</f>
        <v>1.1.1.02.46- Caixa Econômica Federal - 3309-1 Rot int</v>
      </c>
      <c r="B23" s="10">
        <v>14872</v>
      </c>
      <c r="C23" s="10">
        <v>-7524</v>
      </c>
      <c r="D23" s="10">
        <v>7348</v>
      </c>
    </row>
    <row r="24" spans="1:4" x14ac:dyDescent="0.25">
      <c r="A24" s="2" t="str">
        <f>"1.1.1.02.51- Caixa Econômica Federal -3501-9Leillão17"</f>
        <v>1.1.1.02.51- Caixa Econômica Federal -3501-9Leillão17</v>
      </c>
      <c r="B24" s="10">
        <v>42</v>
      </c>
      <c r="C24" s="10">
        <v>0</v>
      </c>
      <c r="D24" s="10">
        <v>42</v>
      </c>
    </row>
    <row r="25" spans="1:4" x14ac:dyDescent="0.25">
      <c r="A25" s="2" t="str">
        <f>"1.1.1.03.00- APLICACOES FINANCEIRAS"</f>
        <v>1.1.1.03.00- APLICACOES FINANCEIRAS</v>
      </c>
      <c r="B25" s="10">
        <v>6395367.1500000004</v>
      </c>
      <c r="C25" s="10">
        <v>1376678.01</v>
      </c>
      <c r="D25" s="10">
        <v>7772045.1600000001</v>
      </c>
    </row>
    <row r="26" spans="1:4" x14ac:dyDescent="0.25">
      <c r="A26" s="2" t="str">
        <f>"1.1.1.03.23- Caixa Econômica Federal - 3291-5"</f>
        <v>1.1.1.03.23- Caixa Econômica Federal - 3291-5</v>
      </c>
      <c r="B26" s="10">
        <v>5032622.3899999997</v>
      </c>
      <c r="C26" s="10">
        <v>1283892.76</v>
      </c>
      <c r="D26" s="10">
        <v>6316515.1500000004</v>
      </c>
    </row>
    <row r="27" spans="1:4" x14ac:dyDescent="0.25">
      <c r="A27" s="2" t="str">
        <f>"1.1.1.03.25- Caixa Econômica Federal - 3292-3 Leilão"</f>
        <v>1.1.1.03.25- Caixa Econômica Federal - 3292-3 Leilão</v>
      </c>
      <c r="B27" s="10">
        <v>73306.77</v>
      </c>
      <c r="C27" s="10">
        <v>356.03</v>
      </c>
      <c r="D27" s="10">
        <v>73662.8</v>
      </c>
    </row>
    <row r="28" spans="1:4" x14ac:dyDescent="0.25">
      <c r="A28" s="2" t="str">
        <f>"1.1.1.03.26- Caixa Econômica Federal - 3295-8Leilão13"</f>
        <v>1.1.1.03.26- Caixa Econômica Federal - 3295-8Leilão13</v>
      </c>
      <c r="B28" s="10">
        <v>200763.05</v>
      </c>
      <c r="C28" s="10">
        <v>975.05</v>
      </c>
      <c r="D28" s="10">
        <v>201738.1</v>
      </c>
    </row>
    <row r="29" spans="1:4" x14ac:dyDescent="0.25">
      <c r="A29" s="2" t="str">
        <f>"1.1.1.03.29- Caixa Econômica Federal - 3298-2Leilão15"</f>
        <v>1.1.1.03.29- Caixa Econômica Federal - 3298-2Leilão15</v>
      </c>
      <c r="B29" s="10">
        <v>100222.01</v>
      </c>
      <c r="C29" s="10">
        <v>411.31</v>
      </c>
      <c r="D29" s="10">
        <v>100633.32</v>
      </c>
    </row>
    <row r="30" spans="1:4" x14ac:dyDescent="0.25">
      <c r="A30" s="2" t="str">
        <f>"1.1.1.03.30- Caixa Econômica Federal - 3299-0Leilão16"</f>
        <v>1.1.1.03.30- Caixa Econômica Federal - 3299-0Leilão16</v>
      </c>
      <c r="B30" s="10">
        <v>126279.47</v>
      </c>
      <c r="C30" s="10">
        <v>613.29999999999995</v>
      </c>
      <c r="D30" s="10">
        <v>126892.77</v>
      </c>
    </row>
    <row r="31" spans="1:4" x14ac:dyDescent="0.25">
      <c r="A31" s="2" t="str">
        <f>"1.1.1.03.31- Caixa Econômica Federal - 3300-8Leilão16"</f>
        <v>1.1.1.03.31- Caixa Econômica Federal - 3300-8Leilão16</v>
      </c>
      <c r="B31" s="10">
        <v>45281.75</v>
      </c>
      <c r="C31" s="10">
        <v>185.83</v>
      </c>
      <c r="D31" s="10">
        <v>45467.58</v>
      </c>
    </row>
    <row r="32" spans="1:4" x14ac:dyDescent="0.25">
      <c r="A32" s="2" t="str">
        <f>"1.1.1.03.32- Caixa Econômica - 3301-6 Mídia"</f>
        <v>1.1.1.03.32- Caixa Econômica - 3301-6 Mídia</v>
      </c>
      <c r="B32" s="10">
        <v>81274.559999999998</v>
      </c>
      <c r="C32" s="10">
        <v>360.86</v>
      </c>
      <c r="D32" s="10">
        <v>81635.42</v>
      </c>
    </row>
    <row r="33" spans="1:4" x14ac:dyDescent="0.25">
      <c r="A33" s="2" t="str">
        <f>"1.1.1.03.35- Caixa Econômica - 3304-0Caução"</f>
        <v>1.1.1.03.35- Caixa Econômica - 3304-0Caução</v>
      </c>
      <c r="B33" s="10">
        <v>430794.34</v>
      </c>
      <c r="C33" s="10">
        <v>1838.01</v>
      </c>
      <c r="D33" s="10">
        <v>432632.35</v>
      </c>
    </row>
    <row r="34" spans="1:4" x14ac:dyDescent="0.25">
      <c r="A34" s="2" t="str">
        <f>"1.1.1.03.36- Caixa Econômica - 3305-9Sucumb."</f>
        <v>1.1.1.03.36- Caixa Econômica - 3305-9Sucumb.</v>
      </c>
      <c r="B34" s="10">
        <v>4800.92</v>
      </c>
      <c r="C34" s="10">
        <v>18.52</v>
      </c>
      <c r="D34" s="10">
        <v>4819.4399999999996</v>
      </c>
    </row>
    <row r="35" spans="1:4" x14ac:dyDescent="0.25">
      <c r="A35" s="2" t="str">
        <f>"1.1.1.03.38- Caixa Econômica - 3308-3Leilão"</f>
        <v>1.1.1.03.38- Caixa Econômica - 3308-3Leilão</v>
      </c>
      <c r="B35" s="10">
        <v>2164.64</v>
      </c>
      <c r="C35" s="10">
        <v>8.35</v>
      </c>
      <c r="D35" s="10">
        <v>2172.9899999999998</v>
      </c>
    </row>
    <row r="36" spans="1:4" x14ac:dyDescent="0.25">
      <c r="A36" s="2" t="str">
        <f>"1.1.1.03.41- Caixa Econômica - 531-0 Aci moto poupanç"</f>
        <v>1.1.1.03.41- Caixa Econômica - 531-0 Aci moto poupanç</v>
      </c>
      <c r="B36" s="10">
        <v>4416.8999999999996</v>
      </c>
      <c r="C36" s="10">
        <v>-3820.29</v>
      </c>
      <c r="D36" s="10">
        <v>596.61</v>
      </c>
    </row>
    <row r="37" spans="1:4" x14ac:dyDescent="0.25">
      <c r="A37" s="2" t="str">
        <f>"1.1.1.03.42- Caixa Econômica - 532-9 Acid Ped Poupanç"</f>
        <v>1.1.1.03.42- Caixa Econômica - 532-9 Acid Ped Poupanç</v>
      </c>
      <c r="B37" s="10">
        <v>88397.86</v>
      </c>
      <c r="C37" s="10">
        <v>827.16</v>
      </c>
      <c r="D37" s="10">
        <v>89225.02</v>
      </c>
    </row>
    <row r="38" spans="1:4" x14ac:dyDescent="0.25">
      <c r="A38" s="2" t="str">
        <f>"1.1.1.03.43- Caixa Econômica - 534-5 Codemig Poupança"</f>
        <v>1.1.1.03.43- Caixa Econômica - 534-5 Codemig Poupança</v>
      </c>
      <c r="B38" s="10">
        <v>25711.68</v>
      </c>
      <c r="C38" s="10">
        <v>239.72</v>
      </c>
      <c r="D38" s="10">
        <v>25951.4</v>
      </c>
    </row>
    <row r="39" spans="1:4" x14ac:dyDescent="0.25">
      <c r="A39" s="2" t="str">
        <f>"1.1.1.03.44- Caixa Econômica - 535-3 Turblog Poupança"</f>
        <v>1.1.1.03.44- Caixa Econômica - 535-3 Turblog Poupança</v>
      </c>
      <c r="B39" s="10">
        <v>63248.12</v>
      </c>
      <c r="C39" s="10">
        <v>589.67999999999995</v>
      </c>
      <c r="D39" s="10">
        <v>63837.8</v>
      </c>
    </row>
    <row r="40" spans="1:4" x14ac:dyDescent="0.25">
      <c r="A40" s="2" t="str">
        <f>"1.1.1.03.45- Caixa Econômica Federal - 3393-8Leilão17"</f>
        <v>1.1.1.03.45- Caixa Econômica Federal - 3393-8Leilão17</v>
      </c>
      <c r="B40" s="10">
        <v>115933.47</v>
      </c>
      <c r="C40" s="10">
        <v>-3394.75</v>
      </c>
      <c r="D40" s="10">
        <v>112538.72</v>
      </c>
    </row>
    <row r="41" spans="1:4" x14ac:dyDescent="0.25">
      <c r="A41" s="2" t="str">
        <f>"1.1.1.03.46- Caixa Econômica Federal -3501-9Leillão17"</f>
        <v>1.1.1.03.46- Caixa Econômica Federal -3501-9Leillão17</v>
      </c>
      <c r="B41" s="10">
        <v>149.22</v>
      </c>
      <c r="C41" s="10">
        <v>93576.47</v>
      </c>
      <c r="D41" s="10">
        <v>93725.69</v>
      </c>
    </row>
    <row r="42" spans="1:4" x14ac:dyDescent="0.25">
      <c r="A42" s="2" t="str">
        <f>"1.1.1.04.00- BANCOS C/VINCULADA-PAMEH"</f>
        <v>1.1.1.04.00- BANCOS C/VINCULADA-PAMEH</v>
      </c>
      <c r="B42" s="10">
        <v>2382712.89</v>
      </c>
      <c r="C42" s="10">
        <v>-84244.72</v>
      </c>
      <c r="D42" s="10">
        <v>2298468.17</v>
      </c>
    </row>
    <row r="43" spans="1:4" x14ac:dyDescent="0.25">
      <c r="A43" s="2" t="str">
        <f>"1.1.1.04.07- Caixa Econômica Federal - 3294-0"</f>
        <v>1.1.1.04.07- Caixa Econômica Federal - 3294-0</v>
      </c>
      <c r="B43" s="10">
        <v>6306.27</v>
      </c>
      <c r="C43" s="10">
        <v>-6291.51</v>
      </c>
      <c r="D43" s="10">
        <v>14.76</v>
      </c>
    </row>
    <row r="44" spans="1:4" x14ac:dyDescent="0.25">
      <c r="A44" s="2" t="str">
        <f>"1.1.1.04.08- Caixa Econômica Federal - 3294-0 Aplic."</f>
        <v>1.1.1.04.08- Caixa Econômica Federal - 3294-0 Aplic.</v>
      </c>
      <c r="B44" s="10">
        <v>2376406.62</v>
      </c>
      <c r="C44" s="10">
        <v>-77953.210000000006</v>
      </c>
      <c r="D44" s="10">
        <v>2298453.41</v>
      </c>
    </row>
    <row r="45" spans="1:4" x14ac:dyDescent="0.25">
      <c r="A45" s="2" t="str">
        <f>"1.1.2.00.00- REALIZAVEL A CURTO PRAZO"</f>
        <v>1.1.2.00.00- REALIZAVEL A CURTO PRAZO</v>
      </c>
      <c r="B45" s="10">
        <v>10257002.92</v>
      </c>
      <c r="C45" s="10">
        <v>-1334379.8999999999</v>
      </c>
      <c r="D45" s="10">
        <v>8922623.0199999996</v>
      </c>
    </row>
    <row r="46" spans="1:4" x14ac:dyDescent="0.25">
      <c r="A46" s="2" t="str">
        <f>"1.1.2.01.00- CONTAS A RECEBER"</f>
        <v>1.1.2.01.00- CONTAS A RECEBER</v>
      </c>
      <c r="B46" s="10">
        <v>5298179.9800000004</v>
      </c>
      <c r="C46" s="10">
        <v>54291.72</v>
      </c>
      <c r="D46" s="10">
        <v>5352471.7</v>
      </c>
    </row>
    <row r="47" spans="1:4" x14ac:dyDescent="0.25">
      <c r="A47" s="2" t="str">
        <f>"1.1.2.01.89- Multas Transporte Coletivo"</f>
        <v>1.1.2.01.89- Multas Transporte Coletivo</v>
      </c>
      <c r="B47" s="10">
        <v>6311060.6900000004</v>
      </c>
      <c r="C47" s="10">
        <v>204674.52</v>
      </c>
      <c r="D47" s="10">
        <v>6515735.21</v>
      </c>
    </row>
    <row r="48" spans="1:4" x14ac:dyDescent="0.25">
      <c r="A48" s="2" t="str">
        <f>"1.1.2.01.94- Midia Onibus a Receber"</f>
        <v>1.1.2.01.94- Midia Onibus a Receber</v>
      </c>
      <c r="B48" s="10">
        <v>253567.34</v>
      </c>
      <c r="C48" s="10">
        <v>0</v>
      </c>
      <c r="D48" s="10">
        <v>253567.34</v>
      </c>
    </row>
    <row r="49" spans="1:4" x14ac:dyDescent="0.25">
      <c r="A49" s="2" t="str">
        <f>"1.1.2.01.98- Outras contas a receber"</f>
        <v>1.1.2.01.98- Outras contas a receber</v>
      </c>
      <c r="B49" s="10">
        <v>53893.62</v>
      </c>
      <c r="C49" s="10">
        <v>-17888.580000000002</v>
      </c>
      <c r="D49" s="10">
        <v>36005.040000000001</v>
      </c>
    </row>
    <row r="50" spans="1:4" x14ac:dyDescent="0.25">
      <c r="A50" s="2" t="str">
        <f>"1.1.2.01.99- (-) Provisao para Perdas"</f>
        <v>1.1.2.01.99- (-) Provisao para Perdas</v>
      </c>
      <c r="B50" s="10">
        <v>-1320341.67</v>
      </c>
      <c r="C50" s="10">
        <v>-132494.22</v>
      </c>
      <c r="D50" s="10">
        <v>-1452835.89</v>
      </c>
    </row>
    <row r="51" spans="1:4" x14ac:dyDescent="0.25">
      <c r="A51" s="2" t="str">
        <f>"1.1.2.04.00- CONVÊNIOS A RECEBER"</f>
        <v>1.1.2.04.00- CONVÊNIOS A RECEBER</v>
      </c>
      <c r="B51" s="10">
        <v>6546.12</v>
      </c>
      <c r="C51" s="10">
        <v>-6546.12</v>
      </c>
      <c r="D51" s="10">
        <v>0</v>
      </c>
    </row>
    <row r="52" spans="1:4" x14ac:dyDescent="0.25">
      <c r="A52" s="2" t="str">
        <f>"1.1.2.04.99- Convenios cedidos a receber"</f>
        <v>1.1.2.04.99- Convenios cedidos a receber</v>
      </c>
      <c r="B52" s="10">
        <v>6546.12</v>
      </c>
      <c r="C52" s="10">
        <v>-6546.12</v>
      </c>
      <c r="D52" s="10">
        <v>0</v>
      </c>
    </row>
    <row r="53" spans="1:4" x14ac:dyDescent="0.25">
      <c r="A53" s="2" t="str">
        <f>"1.1.2.06.00- ADIANTAMENTO A EMPREGADOS"</f>
        <v>1.1.2.06.00- ADIANTAMENTO A EMPREGADOS</v>
      </c>
      <c r="B53" s="10">
        <v>1593909.41</v>
      </c>
      <c r="C53" s="10">
        <v>44682.54</v>
      </c>
      <c r="D53" s="10">
        <v>1638591.95</v>
      </c>
    </row>
    <row r="54" spans="1:4" x14ac:dyDescent="0.25">
      <c r="A54" s="2" t="str">
        <f>"1.1.2.06.01- Adiantamento de Ferias"</f>
        <v>1.1.2.06.01- Adiantamento de Ferias</v>
      </c>
      <c r="B54" s="10">
        <v>676498.36</v>
      </c>
      <c r="C54" s="10">
        <v>-71034.27</v>
      </c>
      <c r="D54" s="10">
        <v>605464.09</v>
      </c>
    </row>
    <row r="55" spans="1:4" x14ac:dyDescent="0.25">
      <c r="A55" s="2" t="str">
        <f>"1.1.2.06.02- Adiantamento de 13. Salario"</f>
        <v>1.1.2.06.02- Adiantamento de 13. Salario</v>
      </c>
      <c r="B55" s="10">
        <v>647576.99</v>
      </c>
      <c r="C55" s="10">
        <v>117875.72</v>
      </c>
      <c r="D55" s="10">
        <v>765452.71</v>
      </c>
    </row>
    <row r="56" spans="1:4" x14ac:dyDescent="0.25">
      <c r="A56" s="2" t="str">
        <f>"1.1.2.06.03- Adiant. de Salario/Parc. Ferias"</f>
        <v>1.1.2.06.03- Adiant. de Salario/Parc. Ferias</v>
      </c>
      <c r="B56" s="10">
        <v>106643.93</v>
      </c>
      <c r="C56" s="10">
        <v>-1095.52</v>
      </c>
      <c r="D56" s="10">
        <v>105548.41</v>
      </c>
    </row>
    <row r="57" spans="1:4" x14ac:dyDescent="0.25">
      <c r="A57" s="2" t="str">
        <f>"1.1.2.06.07- Adiantamento Pensao s/ Ferias"</f>
        <v>1.1.2.06.07- Adiantamento Pensao s/ Ferias</v>
      </c>
      <c r="B57" s="10">
        <v>163190.13</v>
      </c>
      <c r="C57" s="10">
        <v>-1063.3900000000001</v>
      </c>
      <c r="D57" s="10">
        <v>162126.74</v>
      </c>
    </row>
    <row r="58" spans="1:4" x14ac:dyDescent="0.25">
      <c r="A58" s="2" t="str">
        <f>"1.1.2.08.00- ALMOXARIFADO"</f>
        <v>1.1.2.08.00- ALMOXARIFADO</v>
      </c>
      <c r="B58" s="10">
        <v>204014.22</v>
      </c>
      <c r="C58" s="10">
        <v>2950.75</v>
      </c>
      <c r="D58" s="10">
        <v>206964.97</v>
      </c>
    </row>
    <row r="59" spans="1:4" x14ac:dyDescent="0.25">
      <c r="A59" s="2" t="str">
        <f>"1.1.2.08.01- Material em Estoque"</f>
        <v>1.1.2.08.01- Material em Estoque</v>
      </c>
      <c r="B59" s="10">
        <v>204014.22</v>
      </c>
      <c r="C59" s="10">
        <v>2950.75</v>
      </c>
      <c r="D59" s="10">
        <v>206964.97</v>
      </c>
    </row>
    <row r="60" spans="1:4" x14ac:dyDescent="0.25">
      <c r="A60" s="2" t="str">
        <f>"1.1.2.10.00- IMPOSTOS E CONTRIB.A RECUPERAR"</f>
        <v>1.1.2.10.00- IMPOSTOS E CONTRIB.A RECUPERAR</v>
      </c>
      <c r="B60" s="10">
        <v>1916265.98</v>
      </c>
      <c r="C60" s="10">
        <v>-1261875.1000000001</v>
      </c>
      <c r="D60" s="10">
        <v>654390.88</v>
      </c>
    </row>
    <row r="61" spans="1:4" x14ac:dyDescent="0.25">
      <c r="A61" s="2" t="str">
        <f>"1.1.2.10.01- IR s/Aplicacao Financeira"</f>
        <v>1.1.2.10.01- IR s/Aplicacao Financeira</v>
      </c>
      <c r="B61" s="10">
        <v>535470.91</v>
      </c>
      <c r="C61" s="10">
        <v>1714.52</v>
      </c>
      <c r="D61" s="10">
        <v>537185.43000000005</v>
      </c>
    </row>
    <row r="62" spans="1:4" x14ac:dyDescent="0.25">
      <c r="A62" s="2" t="str">
        <f>"1.1.2.10.08- IRRF a Compensar"</f>
        <v>1.1.2.10.08- IRRF a Compensar</v>
      </c>
      <c r="B62" s="10">
        <v>1454.99</v>
      </c>
      <c r="C62" s="10">
        <v>0</v>
      </c>
      <c r="D62" s="10">
        <v>1454.99</v>
      </c>
    </row>
    <row r="63" spans="1:4" x14ac:dyDescent="0.25">
      <c r="A63" s="2" t="str">
        <f>"1.1.2.10.15- Cofins a Compensar"</f>
        <v>1.1.2.10.15- Cofins a Compensar</v>
      </c>
      <c r="B63" s="10">
        <v>1039251.16</v>
      </c>
      <c r="C63" s="10">
        <v>-1039251.13</v>
      </c>
      <c r="D63" s="10">
        <v>0.03</v>
      </c>
    </row>
    <row r="64" spans="1:4" x14ac:dyDescent="0.25">
      <c r="A64" s="2" t="str">
        <f>"1.1.2.10.16- PIS a Compensar"</f>
        <v>1.1.2.10.16- PIS a Compensar</v>
      </c>
      <c r="B64" s="10">
        <v>224393.97</v>
      </c>
      <c r="C64" s="10">
        <v>-224393.94</v>
      </c>
      <c r="D64" s="10">
        <v>0.03</v>
      </c>
    </row>
    <row r="65" spans="1:4" x14ac:dyDescent="0.25">
      <c r="A65" s="2" t="str">
        <f>"1.1.2.10.20- V.M.A PIS a Recuperar"</f>
        <v>1.1.2.10.20- V.M.A PIS a Recuperar</v>
      </c>
      <c r="B65" s="10">
        <v>1471</v>
      </c>
      <c r="C65" s="10">
        <v>30.35</v>
      </c>
      <c r="D65" s="10">
        <v>1501.35</v>
      </c>
    </row>
    <row r="66" spans="1:4" x14ac:dyDescent="0.25">
      <c r="A66" s="2" t="str">
        <f>"1.1.2.10.21- V.M.A IRRF a Compensar"</f>
        <v>1.1.2.10.21- V.M.A IRRF a Compensar</v>
      </c>
      <c r="B66" s="10">
        <v>502.58</v>
      </c>
      <c r="C66" s="10">
        <v>7.58</v>
      </c>
      <c r="D66" s="10">
        <v>510.16</v>
      </c>
    </row>
    <row r="67" spans="1:4" x14ac:dyDescent="0.25">
      <c r="A67" s="2" t="str">
        <f>"1.1.2.10.22- V.M.A COFINS a Compensar"</f>
        <v>1.1.2.10.22- V.M.A COFINS a Compensar</v>
      </c>
      <c r="B67" s="10">
        <v>5457.6</v>
      </c>
      <c r="C67" s="10">
        <v>17.52</v>
      </c>
      <c r="D67" s="10">
        <v>5475.12</v>
      </c>
    </row>
    <row r="68" spans="1:4" x14ac:dyDescent="0.25">
      <c r="A68" s="2" t="str">
        <f>"1.1.2.10.25- INSS a recuperar segurados"</f>
        <v>1.1.2.10.25- INSS a recuperar segurados</v>
      </c>
      <c r="B68" s="10">
        <v>108263.77</v>
      </c>
      <c r="C68" s="10">
        <v>0</v>
      </c>
      <c r="D68" s="10">
        <v>108263.77</v>
      </c>
    </row>
    <row r="69" spans="1:4" x14ac:dyDescent="0.25">
      <c r="A69" s="2" t="str">
        <f>"1.1.2.11.00- DESPESAS ANTECIPADAS"</f>
        <v>1.1.2.11.00- DESPESAS ANTECIPADAS</v>
      </c>
      <c r="B69" s="10">
        <v>3971.45</v>
      </c>
      <c r="C69" s="10">
        <v>1446.29</v>
      </c>
      <c r="D69" s="10">
        <v>5417.74</v>
      </c>
    </row>
    <row r="70" spans="1:4" x14ac:dyDescent="0.25">
      <c r="A70" s="2" t="str">
        <f>"1.1.2.11.01- Premios de Seguros a Vencer"</f>
        <v>1.1.2.11.01- Premios de Seguros a Vencer</v>
      </c>
      <c r="B70" s="10">
        <v>3971.45</v>
      </c>
      <c r="C70" s="10">
        <v>1446.29</v>
      </c>
      <c r="D70" s="10">
        <v>5417.74</v>
      </c>
    </row>
    <row r="71" spans="1:4" x14ac:dyDescent="0.25">
      <c r="A71" s="2" t="str">
        <f>"1.1.2.12.00- VALORES VINC.A RECEBER-PAMEH"</f>
        <v>1.1.2.12.00- VALORES VINC.A RECEBER-PAMEH</v>
      </c>
      <c r="B71" s="10">
        <v>791300.93</v>
      </c>
      <c r="C71" s="10">
        <v>5.4</v>
      </c>
      <c r="D71" s="10">
        <v>791306.33</v>
      </c>
    </row>
    <row r="72" spans="1:4" x14ac:dyDescent="0.25">
      <c r="A72" s="2" t="str">
        <f>"1.1.2.12.01- Valores Vinculados-PAMEH"</f>
        <v>1.1.2.12.01- Valores Vinculados-PAMEH</v>
      </c>
      <c r="B72" s="10">
        <v>791300.93</v>
      </c>
      <c r="C72" s="10">
        <v>5.4</v>
      </c>
      <c r="D72" s="10">
        <v>791306.33</v>
      </c>
    </row>
    <row r="73" spans="1:4" x14ac:dyDescent="0.25">
      <c r="A73" s="2" t="str">
        <f>"1.1.2.14.00- CONTAS TRANSITORIAS - GRUPO ATIVO"</f>
        <v>1.1.2.14.00- CONTAS TRANSITORIAS - GRUPO ATIVO</v>
      </c>
      <c r="B73" s="10">
        <v>418110.24</v>
      </c>
      <c r="C73" s="10">
        <v>-173049.67</v>
      </c>
      <c r="D73" s="10">
        <v>245060.57</v>
      </c>
    </row>
    <row r="74" spans="1:4" x14ac:dyDescent="0.25">
      <c r="A74" s="2" t="str">
        <f>"1.1.2.14.01- Transitoria de Fornecedores"</f>
        <v>1.1.2.14.01- Transitoria de Fornecedores</v>
      </c>
      <c r="B74" s="10">
        <v>4195</v>
      </c>
      <c r="C74" s="10">
        <v>-4195</v>
      </c>
      <c r="D74" s="10">
        <v>0</v>
      </c>
    </row>
    <row r="75" spans="1:4" x14ac:dyDescent="0.25">
      <c r="A75" s="2" t="str">
        <f>"1.1.2.14.02- Transitoria de Alteracao Patrimonial"</f>
        <v>1.1.2.14.02- Transitoria de Alteracao Patrimonial</v>
      </c>
      <c r="B75" s="10">
        <v>-2635</v>
      </c>
      <c r="C75" s="10">
        <v>2635</v>
      </c>
      <c r="D75" s="10">
        <v>0</v>
      </c>
    </row>
    <row r="76" spans="1:4" x14ac:dyDescent="0.25">
      <c r="A76" s="2" t="str">
        <f>"1.1.2.14.05- Transitoria Folha de Pagamento"</f>
        <v>1.1.2.14.05- Transitoria Folha de Pagamento</v>
      </c>
      <c r="B76" s="10">
        <v>416550.24</v>
      </c>
      <c r="C76" s="10">
        <v>-171489.67</v>
      </c>
      <c r="D76" s="10">
        <v>245060.57</v>
      </c>
    </row>
    <row r="77" spans="1:4" x14ac:dyDescent="0.25">
      <c r="A77" s="2" t="str">
        <f>"1.1.2.15.00- CARNE ESTACIONAMENTO ROTATIVO"</f>
        <v>1.1.2.15.00- CARNE ESTACIONAMENTO ROTATIVO</v>
      </c>
      <c r="B77" s="10">
        <v>24704.59</v>
      </c>
      <c r="C77" s="10">
        <v>3714.29</v>
      </c>
      <c r="D77" s="10">
        <v>28418.880000000001</v>
      </c>
    </row>
    <row r="78" spans="1:4" x14ac:dyDescent="0.25">
      <c r="A78" s="2" t="str">
        <f>"1.1.2.15.01- Carne Rotativo"</f>
        <v>1.1.2.15.01- Carne Rotativo</v>
      </c>
      <c r="B78" s="10">
        <v>24704.59</v>
      </c>
      <c r="C78" s="10">
        <v>3714.29</v>
      </c>
      <c r="D78" s="10">
        <v>28418.880000000001</v>
      </c>
    </row>
    <row r="79" spans="1:4" x14ac:dyDescent="0.25">
      <c r="A79" s="2" t="str">
        <f>"1.2.0.00.00- ATIVO NAO CIRCULANTE"</f>
        <v>1.2.0.00.00- ATIVO NAO CIRCULANTE</v>
      </c>
      <c r="B79" s="10">
        <v>20379546.43</v>
      </c>
      <c r="C79" s="10">
        <v>783649.45</v>
      </c>
      <c r="D79" s="10">
        <v>21163195.879999999</v>
      </c>
    </row>
    <row r="80" spans="1:4" x14ac:dyDescent="0.25">
      <c r="A80" s="2" t="str">
        <f>"1.2.1.00.00- REALIZAVEL A LONGO PRAZO"</f>
        <v>1.2.1.00.00- REALIZAVEL A LONGO PRAZO</v>
      </c>
      <c r="B80" s="10">
        <v>18338414.100000001</v>
      </c>
      <c r="C80" s="10">
        <v>799942.86</v>
      </c>
      <c r="D80" s="10">
        <v>19138356.960000001</v>
      </c>
    </row>
    <row r="81" spans="1:4" x14ac:dyDescent="0.25">
      <c r="A81" s="2" t="str">
        <f>"1.2.1.01.00- CREDITOS E VALORES A RECEBER"</f>
        <v>1.2.1.01.00- CREDITOS E VALORES A RECEBER</v>
      </c>
      <c r="B81" s="10">
        <v>18338414.100000001</v>
      </c>
      <c r="C81" s="10">
        <v>799942.86</v>
      </c>
      <c r="D81" s="10">
        <v>19138356.960000001</v>
      </c>
    </row>
    <row r="82" spans="1:4" x14ac:dyDescent="0.25">
      <c r="A82" s="2" t="str">
        <f>"1.2.1.01.01- Depositos Judiciais"</f>
        <v>1.2.1.01.01- Depositos Judiciais</v>
      </c>
      <c r="B82" s="10">
        <v>5822959.1200000001</v>
      </c>
      <c r="C82" s="10">
        <v>799942.86</v>
      </c>
      <c r="D82" s="10">
        <v>6622901.9800000004</v>
      </c>
    </row>
    <row r="83" spans="1:4" x14ac:dyDescent="0.25">
      <c r="A83" s="2" t="str">
        <f>"1.2.1.01.03- Depositos Judiciais de Terceiros"</f>
        <v>1.2.1.01.03- Depositos Judiciais de Terceiros</v>
      </c>
      <c r="B83" s="10">
        <v>925087.39</v>
      </c>
      <c r="C83" s="10">
        <v>0</v>
      </c>
      <c r="D83" s="10">
        <v>925087.39</v>
      </c>
    </row>
    <row r="84" spans="1:4" x14ac:dyDescent="0.25">
      <c r="A84" s="2" t="str">
        <f>"1.2.1.01.04- Convenio Prefeitura Betim"</f>
        <v>1.2.1.01.04- Convenio Prefeitura Betim</v>
      </c>
      <c r="B84" s="10">
        <v>891.18</v>
      </c>
      <c r="C84" s="10">
        <v>0</v>
      </c>
      <c r="D84" s="10">
        <v>891.18</v>
      </c>
    </row>
    <row r="85" spans="1:4" x14ac:dyDescent="0.25">
      <c r="A85" s="2" t="str">
        <f>"1.2.1.01.05- Convenio IPSEMG"</f>
        <v>1.2.1.01.05- Convenio IPSEMG</v>
      </c>
      <c r="B85" s="10">
        <v>21163.53</v>
      </c>
      <c r="C85" s="10">
        <v>0</v>
      </c>
      <c r="D85" s="10">
        <v>21163.53</v>
      </c>
    </row>
    <row r="86" spans="1:4" x14ac:dyDescent="0.25">
      <c r="A86" s="2" t="str">
        <f>"1.2.1.01.06- Multas Transporte Coletivo"</f>
        <v>1.2.1.01.06- Multas Transporte Coletivo</v>
      </c>
      <c r="B86" s="10">
        <v>12853680.960000001</v>
      </c>
      <c r="C86" s="10">
        <v>0</v>
      </c>
      <c r="D86" s="10">
        <v>12853680.960000001</v>
      </c>
    </row>
    <row r="87" spans="1:4" x14ac:dyDescent="0.25">
      <c r="A87" s="2" t="str">
        <f>"1.2.1.01.07- (-) Provisao para Perdas"</f>
        <v>1.2.1.01.07- (-) Provisao para Perdas</v>
      </c>
      <c r="B87" s="10">
        <v>-1285368.08</v>
      </c>
      <c r="C87" s="10">
        <v>0</v>
      </c>
      <c r="D87" s="10">
        <v>-1285368.08</v>
      </c>
    </row>
    <row r="88" spans="1:4" x14ac:dyDescent="0.25">
      <c r="A88" s="2" t="str">
        <f>"1.3.1.00.00- INVESTIMENTOS"</f>
        <v>1.3.1.00.00- INVESTIMENTOS</v>
      </c>
      <c r="B88" s="10">
        <v>26070</v>
      </c>
      <c r="C88" s="10">
        <v>0</v>
      </c>
      <c r="D88" s="10">
        <v>26070</v>
      </c>
    </row>
    <row r="89" spans="1:4" x14ac:dyDescent="0.25">
      <c r="A89" s="2" t="str">
        <f>"1.3.1.01.00- OUTROS INVESTIMENTOS"</f>
        <v>1.3.1.01.00- OUTROS INVESTIMENTOS</v>
      </c>
      <c r="B89" s="10">
        <v>26070</v>
      </c>
      <c r="C89" s="10">
        <v>0</v>
      </c>
      <c r="D89" s="10">
        <v>26070</v>
      </c>
    </row>
    <row r="90" spans="1:4" x14ac:dyDescent="0.25">
      <c r="A90" s="2" t="str">
        <f>"1.3.1.01.01- Obras de Arte"</f>
        <v>1.3.1.01.01- Obras de Arte</v>
      </c>
      <c r="B90" s="10">
        <v>25200</v>
      </c>
      <c r="C90" s="10">
        <v>0</v>
      </c>
      <c r="D90" s="10">
        <v>25200</v>
      </c>
    </row>
    <row r="91" spans="1:4" x14ac:dyDescent="0.25">
      <c r="A91" s="2" t="str">
        <f>"1.3.1.01.02- Participações Societárias - PBH ATIVOS"</f>
        <v>1.3.1.01.02- Participações Societárias - PBH ATIVOS</v>
      </c>
      <c r="B91" s="10">
        <v>870</v>
      </c>
      <c r="C91" s="10">
        <v>0</v>
      </c>
      <c r="D91" s="10">
        <v>870</v>
      </c>
    </row>
    <row r="92" spans="1:4" x14ac:dyDescent="0.25">
      <c r="A92" s="2" t="str">
        <f>"1.3.2.00.00- IMOBILIZADO"</f>
        <v>1.3.2.00.00- IMOBILIZADO</v>
      </c>
      <c r="B92" s="10">
        <v>7753615.25</v>
      </c>
      <c r="C92" s="10">
        <v>4479</v>
      </c>
      <c r="D92" s="10">
        <v>7758094.25</v>
      </c>
    </row>
    <row r="93" spans="1:4" x14ac:dyDescent="0.25">
      <c r="A93" s="2" t="str">
        <f>"1.3.2.01.01- Maquinas e equipamentos"</f>
        <v>1.3.2.01.01- Maquinas e equipamentos</v>
      </c>
      <c r="B93" s="10">
        <v>241624.95999999999</v>
      </c>
      <c r="C93" s="10">
        <v>0</v>
      </c>
      <c r="D93" s="10">
        <v>241624.95999999999</v>
      </c>
    </row>
    <row r="94" spans="1:4" x14ac:dyDescent="0.25">
      <c r="A94" s="2" t="str">
        <f>"1.3.2.02.01- Ferramentas"</f>
        <v>1.3.2.02.01- Ferramentas</v>
      </c>
      <c r="B94" s="10">
        <v>9104.81</v>
      </c>
      <c r="C94" s="10">
        <v>0</v>
      </c>
      <c r="D94" s="10">
        <v>9104.81</v>
      </c>
    </row>
    <row r="95" spans="1:4" x14ac:dyDescent="0.25">
      <c r="A95" s="2" t="str">
        <f>"1.3.2.03.01- Equipamentos de comunicacao"</f>
        <v>1.3.2.03.01- Equipamentos de comunicacao</v>
      </c>
      <c r="B95" s="10">
        <v>172167.01</v>
      </c>
      <c r="C95" s="10">
        <v>0</v>
      </c>
      <c r="D95" s="10">
        <v>172167.01</v>
      </c>
    </row>
    <row r="96" spans="1:4" x14ac:dyDescent="0.25">
      <c r="A96" s="2" t="str">
        <f>"1.3.2.04.01- Instalacoes"</f>
        <v>1.3.2.04.01- Instalacoes</v>
      </c>
      <c r="B96" s="10">
        <v>85222.9</v>
      </c>
      <c r="C96" s="10">
        <v>0</v>
      </c>
      <c r="D96" s="10">
        <v>85222.9</v>
      </c>
    </row>
    <row r="97" spans="1:4" x14ac:dyDescent="0.25">
      <c r="A97" s="2" t="str">
        <f>"1.3.2.06.01- Moveis e utensilios"</f>
        <v>1.3.2.06.01- Moveis e utensilios</v>
      </c>
      <c r="B97" s="10">
        <v>541731.43999999994</v>
      </c>
      <c r="C97" s="10">
        <v>0</v>
      </c>
      <c r="D97" s="10">
        <v>541731.43999999994</v>
      </c>
    </row>
    <row r="98" spans="1:4" x14ac:dyDescent="0.25">
      <c r="A98" s="2" t="str">
        <f>"1.3.2.08.01- Instalacoes administrativas"</f>
        <v>1.3.2.08.01- Instalacoes administrativas</v>
      </c>
      <c r="B98" s="10">
        <v>99146.34</v>
      </c>
      <c r="C98" s="10">
        <v>0</v>
      </c>
      <c r="D98" s="10">
        <v>99146.34</v>
      </c>
    </row>
    <row r="99" spans="1:4" x14ac:dyDescent="0.25">
      <c r="A99" s="2" t="str">
        <f>"1.3.2.09.01- Aparelhos/equipamentos diversos"</f>
        <v>1.3.2.09.01- Aparelhos/equipamentos diversos</v>
      </c>
      <c r="B99" s="10">
        <v>646455.13</v>
      </c>
      <c r="C99" s="10">
        <v>4479</v>
      </c>
      <c r="D99" s="10">
        <v>650934.13</v>
      </c>
    </row>
    <row r="100" spans="1:4" x14ac:dyDescent="0.25">
      <c r="A100" s="2" t="str">
        <f>"1.3.2.10.01- Equip. p/ processamento de dados"</f>
        <v>1.3.2.10.01- Equip. p/ processamento de dados</v>
      </c>
      <c r="B100" s="10">
        <v>1550246.6</v>
      </c>
      <c r="C100" s="10">
        <v>0</v>
      </c>
      <c r="D100" s="10">
        <v>1550246.6</v>
      </c>
    </row>
    <row r="101" spans="1:4" x14ac:dyDescent="0.25">
      <c r="A101" s="2" t="str">
        <f>"1.3.2.12.01- Micros/impressoras e acessorios"</f>
        <v>1.3.2.12.01- Micros/impressoras e acessorios</v>
      </c>
      <c r="B101" s="10">
        <v>2690531.68</v>
      </c>
      <c r="C101" s="10">
        <v>0</v>
      </c>
      <c r="D101" s="10">
        <v>2690531.68</v>
      </c>
    </row>
    <row r="102" spans="1:4" x14ac:dyDescent="0.25">
      <c r="A102" s="2" t="str">
        <f>"1.3.2.13.01- Imobilizacao em imoveis de terceiros"</f>
        <v>1.3.2.13.01- Imobilizacao em imoveis de terceiros</v>
      </c>
      <c r="B102" s="10">
        <v>511539.98</v>
      </c>
      <c r="C102" s="10">
        <v>0</v>
      </c>
      <c r="D102" s="10">
        <v>511539.98</v>
      </c>
    </row>
    <row r="103" spans="1:4" x14ac:dyDescent="0.25">
      <c r="A103" s="2" t="str">
        <f>"1.3.2.14.01- Estacao Diamante"</f>
        <v>1.3.2.14.01- Estacao Diamante</v>
      </c>
      <c r="B103" s="10">
        <v>1162384.46</v>
      </c>
      <c r="C103" s="10">
        <v>0</v>
      </c>
      <c r="D103" s="10">
        <v>1162384.46</v>
      </c>
    </row>
    <row r="104" spans="1:4" x14ac:dyDescent="0.25">
      <c r="A104" s="2" t="str">
        <f>"1.3.2.15.00- IMOBILIZACOES EM ANDAMENTO"</f>
        <v>1.3.2.15.00- IMOBILIZACOES EM ANDAMENTO</v>
      </c>
      <c r="B104" s="10">
        <v>43459.94</v>
      </c>
      <c r="C104" s="10">
        <v>0</v>
      </c>
      <c r="D104" s="10">
        <v>43459.94</v>
      </c>
    </row>
    <row r="105" spans="1:4" x14ac:dyDescent="0.25">
      <c r="A105" s="2" t="str">
        <f>"1.3.2.15.01- Construcoes em Andamento"</f>
        <v>1.3.2.15.01- Construcoes em Andamento</v>
      </c>
      <c r="B105" s="10">
        <v>43459.94</v>
      </c>
      <c r="C105" s="10">
        <v>0</v>
      </c>
      <c r="D105" s="10">
        <v>43459.94</v>
      </c>
    </row>
    <row r="106" spans="1:4" x14ac:dyDescent="0.25">
      <c r="A106" s="2" t="str">
        <f>"1.3.3.00.00- INTANGIVEL"</f>
        <v>1.3.3.00.00- INTANGIVEL</v>
      </c>
      <c r="B106" s="10">
        <v>37558</v>
      </c>
      <c r="C106" s="10">
        <v>0</v>
      </c>
      <c r="D106" s="10">
        <v>37558</v>
      </c>
    </row>
    <row r="107" spans="1:4" x14ac:dyDescent="0.25">
      <c r="A107" s="2" t="str">
        <f>"1.3.3.04.01- Programas e Sistemas"</f>
        <v>1.3.3.04.01- Programas e Sistemas</v>
      </c>
      <c r="B107" s="10">
        <v>37558</v>
      </c>
      <c r="C107" s="10">
        <v>0</v>
      </c>
      <c r="D107" s="10">
        <v>37558</v>
      </c>
    </row>
    <row r="108" spans="1:4" x14ac:dyDescent="0.25">
      <c r="A108" s="2" t="str">
        <f>"1.3.5.00.00- ( - )DEPRECIACAO E AMORTIZACAO"</f>
        <v>1.3.5.00.00- ( - )DEPRECIACAO E AMORTIZACAO</v>
      </c>
      <c r="B108" s="10">
        <v>-5776110.9199999999</v>
      </c>
      <c r="C108" s="10">
        <v>-20772.41</v>
      </c>
      <c r="D108" s="10">
        <v>-5796883.3300000001</v>
      </c>
    </row>
    <row r="109" spans="1:4" x14ac:dyDescent="0.25">
      <c r="A109" s="2" t="str">
        <f>"1.3.5.01.00- ( - ) DEPRECIACAO E AMORTIZACAO"</f>
        <v>1.3.5.01.00- ( - ) DEPRECIACAO E AMORTIZACAO</v>
      </c>
      <c r="B109" s="10">
        <v>-5776110.9199999999</v>
      </c>
      <c r="C109" s="10">
        <v>-20772.41</v>
      </c>
      <c r="D109" s="10">
        <v>-5796883.3300000001</v>
      </c>
    </row>
    <row r="110" spans="1:4" x14ac:dyDescent="0.25">
      <c r="A110" s="2" t="str">
        <f>"1.3.5.01.01- ( - ) Moveis e Utensilios"</f>
        <v>1.3.5.01.01- ( - ) Moveis e Utensilios</v>
      </c>
      <c r="B110" s="10">
        <v>-451526.9</v>
      </c>
      <c r="C110" s="10">
        <v>-2416.2800000000002</v>
      </c>
      <c r="D110" s="10">
        <v>-453943.18</v>
      </c>
    </row>
    <row r="111" spans="1:4" x14ac:dyDescent="0.25">
      <c r="A111" s="2" t="str">
        <f>"1.3.5.01.02- ( - ) Aparelhos/Equipamentos Diversos"</f>
        <v>1.3.5.01.02- ( - ) Aparelhos/Equipamentos Diversos</v>
      </c>
      <c r="B111" s="10">
        <v>-378736.6</v>
      </c>
      <c r="C111" s="10">
        <v>-4161.74</v>
      </c>
      <c r="D111" s="10">
        <v>-382898.34</v>
      </c>
    </row>
    <row r="112" spans="1:4" x14ac:dyDescent="0.25">
      <c r="A112" s="2" t="str">
        <f>"1.3.5.01.03- ( - ) Instalacoes Administrativas"</f>
        <v>1.3.5.01.03- ( - ) Instalacoes Administrativas</v>
      </c>
      <c r="B112" s="10">
        <v>-99036.36</v>
      </c>
      <c r="C112" s="10">
        <v>-3.31</v>
      </c>
      <c r="D112" s="10">
        <v>-99039.67</v>
      </c>
    </row>
    <row r="113" spans="1:4" x14ac:dyDescent="0.25">
      <c r="A113" s="2" t="str">
        <f>"1.3.5.01.05- ( - ) Impressoras e Micros"</f>
        <v>1.3.5.01.05- ( - ) Impressoras e Micros</v>
      </c>
      <c r="B113" s="10">
        <v>-3284867.74</v>
      </c>
      <c r="C113" s="10">
        <v>-6198.83</v>
      </c>
      <c r="D113" s="10">
        <v>-3291066.57</v>
      </c>
    </row>
    <row r="114" spans="1:4" x14ac:dyDescent="0.25">
      <c r="A114" s="2" t="str">
        <f>"1.3.5.01.06- ( - ) Maquinas e Equipamentos"</f>
        <v>1.3.5.01.06- ( - ) Maquinas e Equipamentos</v>
      </c>
      <c r="B114" s="10">
        <v>-161867.37</v>
      </c>
      <c r="C114" s="10">
        <v>-1469.19</v>
      </c>
      <c r="D114" s="10">
        <v>-163336.56</v>
      </c>
    </row>
    <row r="115" spans="1:4" x14ac:dyDescent="0.25">
      <c r="A115" s="2" t="str">
        <f>"1.3.5.01.07- ( - ) Equipamentos de Comunicacao"</f>
        <v>1.3.5.01.07- ( - ) Equipamentos de Comunicacao</v>
      </c>
      <c r="B115" s="10">
        <v>-172058.51</v>
      </c>
      <c r="C115" s="10">
        <v>-21.34</v>
      </c>
      <c r="D115" s="10">
        <v>-172079.85</v>
      </c>
    </row>
    <row r="116" spans="1:4" x14ac:dyDescent="0.25">
      <c r="A116" s="2" t="str">
        <f>"1.3.5.01.08- ( - ) Instalacoes Operacionais"</f>
        <v>1.3.5.01.08- ( - ) Instalacoes Operacionais</v>
      </c>
      <c r="B116" s="10">
        <v>-67496.23</v>
      </c>
      <c r="C116" s="10">
        <v>-252.62</v>
      </c>
      <c r="D116" s="10">
        <v>-67748.850000000006</v>
      </c>
    </row>
    <row r="117" spans="1:4" x14ac:dyDescent="0.25">
      <c r="A117" s="2" t="str">
        <f>"1.3.5.01.09- ( - ) Programas (Softwares)"</f>
        <v>1.3.5.01.09- ( - ) Programas (Softwares)</v>
      </c>
      <c r="B117" s="10">
        <v>-31192.19</v>
      </c>
      <c r="C117" s="10">
        <v>-612.5</v>
      </c>
      <c r="D117" s="10">
        <v>-31804.69</v>
      </c>
    </row>
    <row r="118" spans="1:4" x14ac:dyDescent="0.25">
      <c r="A118" s="2" t="str">
        <f>"1.3.5.01.14- ( - ) Ferramentas"</f>
        <v>1.3.5.01.14- ( - ) Ferramentas</v>
      </c>
      <c r="B118" s="10">
        <v>-7373.53</v>
      </c>
      <c r="C118" s="10">
        <v>-56.85</v>
      </c>
      <c r="D118" s="10">
        <v>-7430.38</v>
      </c>
    </row>
    <row r="119" spans="1:4" x14ac:dyDescent="0.25">
      <c r="A119" s="2" t="str">
        <f>"1.3.5.01.15- ( - ) Imobilizacoes em Imov. Terceiros"</f>
        <v>1.3.5.01.15- ( - ) Imobilizacoes em Imov. Terceiros</v>
      </c>
      <c r="B119" s="10">
        <v>-1121955.49</v>
      </c>
      <c r="C119" s="10">
        <v>-5579.75</v>
      </c>
      <c r="D119" s="10">
        <v>-1127535.24</v>
      </c>
    </row>
    <row r="120" spans="1:4" x14ac:dyDescent="0.25">
      <c r="A120" s="2" t="str">
        <f>""</f>
        <v/>
      </c>
      <c r="B120" s="3" t="str">
        <f>""</f>
        <v/>
      </c>
      <c r="C120" s="3" t="str">
        <f>""</f>
        <v/>
      </c>
      <c r="D120" s="3" t="str">
        <f>""</f>
        <v/>
      </c>
    </row>
    <row r="121" spans="1:4" x14ac:dyDescent="0.25">
      <c r="A121" s="2" t="str">
        <f>"PASSIVO"</f>
        <v>PASSIVO</v>
      </c>
      <c r="B121" s="3" t="str">
        <f>""</f>
        <v/>
      </c>
      <c r="C121" s="3" t="str">
        <f>""</f>
        <v/>
      </c>
      <c r="D121" s="3" t="str">
        <f>""</f>
        <v/>
      </c>
    </row>
    <row r="122" spans="1:4" x14ac:dyDescent="0.25">
      <c r="A122" s="2" t="str">
        <f>"2.0.0.00.00- PASSIVO"</f>
        <v>2.0.0.00.00- PASSIVO</v>
      </c>
      <c r="B122" s="10">
        <v>40424098.5</v>
      </c>
      <c r="C122" s="10">
        <v>2535114.33</v>
      </c>
      <c r="D122" s="10">
        <v>42959212.829999998</v>
      </c>
    </row>
    <row r="123" spans="1:4" x14ac:dyDescent="0.25">
      <c r="A123" s="2" t="str">
        <f>"2.1.0.00.00- PASSIVO CIRCULANTE"</f>
        <v>2.1.0.00.00- PASSIVO CIRCULANTE</v>
      </c>
      <c r="B123" s="10">
        <v>69256423.189999998</v>
      </c>
      <c r="C123" s="10">
        <v>2541917.35</v>
      </c>
      <c r="D123" s="10">
        <v>71798340.540000007</v>
      </c>
    </row>
    <row r="124" spans="1:4" x14ac:dyDescent="0.25">
      <c r="A124" s="2" t="str">
        <f>"2.1.1.00.00- OBRIGACOES COM PESSOAL"</f>
        <v>2.1.1.00.00- OBRIGACOES COM PESSOAL</v>
      </c>
      <c r="B124" s="10">
        <v>15129045.029999999</v>
      </c>
      <c r="C124" s="10">
        <v>483772.66</v>
      </c>
      <c r="D124" s="10">
        <v>15612817.689999999</v>
      </c>
    </row>
    <row r="125" spans="1:4" x14ac:dyDescent="0.25">
      <c r="A125" s="2" t="str">
        <f>"2.1.1.01.00- SALARIOS A PAGAR"</f>
        <v>2.1.1.01.00- SALARIOS A PAGAR</v>
      </c>
      <c r="B125" s="10">
        <v>15129045.029999999</v>
      </c>
      <c r="C125" s="10">
        <v>483772.66</v>
      </c>
      <c r="D125" s="10">
        <v>15612817.689999999</v>
      </c>
    </row>
    <row r="126" spans="1:4" x14ac:dyDescent="0.25">
      <c r="A126" s="2" t="str">
        <f>"2.1.1.01.01- Salarios a Pagar"</f>
        <v>2.1.1.01.01- Salarios a Pagar</v>
      </c>
      <c r="B126" s="10">
        <v>4784788.6399999997</v>
      </c>
      <c r="C126" s="10">
        <v>496117.4</v>
      </c>
      <c r="D126" s="10">
        <v>5280906.04</v>
      </c>
    </row>
    <row r="127" spans="1:4" x14ac:dyDescent="0.25">
      <c r="A127" s="2" t="str">
        <f>"2.1.1.01.02- Provisão 13º Salário"</f>
        <v>2.1.1.01.02- Provisão 13º Salário</v>
      </c>
      <c r="B127" s="10">
        <v>1407307</v>
      </c>
      <c r="C127" s="10">
        <v>525867.61</v>
      </c>
      <c r="D127" s="10">
        <v>1933174.61</v>
      </c>
    </row>
    <row r="128" spans="1:4" x14ac:dyDescent="0.25">
      <c r="A128" s="2" t="str">
        <f>"2.1.1.01.03- Ferias a pagar"</f>
        <v>2.1.1.01.03- Ferias a pagar</v>
      </c>
      <c r="B128" s="10">
        <v>96486.69</v>
      </c>
      <c r="C128" s="10">
        <v>11094.55</v>
      </c>
      <c r="D128" s="10">
        <v>107581.24</v>
      </c>
    </row>
    <row r="129" spans="1:4" x14ac:dyDescent="0.25">
      <c r="A129" s="2" t="str">
        <f>"2.1.1.01.05- Rescisoes a Pagar"</f>
        <v>2.1.1.01.05- Rescisoes a Pagar</v>
      </c>
      <c r="B129" s="10">
        <v>0</v>
      </c>
      <c r="C129" s="10">
        <v>728.71</v>
      </c>
      <c r="D129" s="10">
        <v>728.71</v>
      </c>
    </row>
    <row r="130" spans="1:4" x14ac:dyDescent="0.25">
      <c r="A130" s="2" t="str">
        <f>"2.1.1.01.09- Provisao de Ferias"</f>
        <v>2.1.1.01.09- Provisao de Ferias</v>
      </c>
      <c r="B130" s="10">
        <v>6804902.2800000003</v>
      </c>
      <c r="C130" s="10">
        <v>406591.59</v>
      </c>
      <c r="D130" s="10">
        <v>7211493.8700000001</v>
      </c>
    </row>
    <row r="131" spans="1:4" x14ac:dyDescent="0.25">
      <c r="A131" s="2" t="str">
        <f>"2.1.1.01.11- Indenizações trabalhistas - ACT"</f>
        <v>2.1.1.01.11- Indenizações trabalhistas - ACT</v>
      </c>
      <c r="B131" s="10">
        <v>2035560.42</v>
      </c>
      <c r="C131" s="10">
        <v>-956627.2</v>
      </c>
      <c r="D131" s="10">
        <v>1078933.22</v>
      </c>
    </row>
    <row r="132" spans="1:4" x14ac:dyDescent="0.25">
      <c r="A132" s="2" t="str">
        <f>"2.1.2.00.00- OBRIGACOES SOCIAIS A CURTO PRAZO"</f>
        <v>2.1.2.00.00- OBRIGACOES SOCIAIS A CURTO PRAZO</v>
      </c>
      <c r="B132" s="10">
        <v>6471521.25</v>
      </c>
      <c r="C132" s="10">
        <v>396973.18</v>
      </c>
      <c r="D132" s="10">
        <v>6868494.4299999997</v>
      </c>
    </row>
    <row r="133" spans="1:4" x14ac:dyDescent="0.25">
      <c r="A133" s="2" t="str">
        <f>"2.1.2.01.00- OBRIGACOES SOCIAIS A RECOLHER"</f>
        <v>2.1.2.01.00- OBRIGACOES SOCIAIS A RECOLHER</v>
      </c>
      <c r="B133" s="10">
        <v>6471521.25</v>
      </c>
      <c r="C133" s="10">
        <v>396973.18</v>
      </c>
      <c r="D133" s="10">
        <v>6868494.4299999997</v>
      </c>
    </row>
    <row r="134" spans="1:4" x14ac:dyDescent="0.25">
      <c r="A134" s="2" t="str">
        <f>"2.1.2.01.01- INSS a recolher s/Folha Pagto"</f>
        <v>2.1.2.01.01- INSS a recolher s/Folha Pagto</v>
      </c>
      <c r="B134" s="10">
        <v>2180680.77</v>
      </c>
      <c r="C134" s="10">
        <v>156868.82999999999</v>
      </c>
      <c r="D134" s="10">
        <v>2337549.6</v>
      </c>
    </row>
    <row r="135" spans="1:4" x14ac:dyDescent="0.25">
      <c r="A135" s="2" t="str">
        <f>"2.1.2.01.02- FGTS a recolher s/Folha Pagto"</f>
        <v>2.1.2.01.02- FGTS a recolher s/Folha Pagto</v>
      </c>
      <c r="B135" s="10">
        <v>494253.37</v>
      </c>
      <c r="C135" s="10">
        <v>34164.519999999997</v>
      </c>
      <c r="D135" s="10">
        <v>528417.89</v>
      </c>
    </row>
    <row r="136" spans="1:4" x14ac:dyDescent="0.25">
      <c r="A136" s="2" t="str">
        <f>"2.1.2.01.05- Contribuicao Sindical"</f>
        <v>2.1.2.01.05- Contribuicao Sindical</v>
      </c>
      <c r="B136" s="10">
        <v>9096.16</v>
      </c>
      <c r="C136" s="10">
        <v>-739.35</v>
      </c>
      <c r="D136" s="10">
        <v>8356.81</v>
      </c>
    </row>
    <row r="137" spans="1:4" x14ac:dyDescent="0.25">
      <c r="A137" s="2" t="str">
        <f>"2.1.2.01.06- INSS s/Provisao de Ferias"</f>
        <v>2.1.2.01.06- INSS s/Provisao de Ferias</v>
      </c>
      <c r="B137" s="10">
        <v>1964572.75</v>
      </c>
      <c r="C137" s="10">
        <v>116619.15</v>
      </c>
      <c r="D137" s="10">
        <v>2081191.9</v>
      </c>
    </row>
    <row r="138" spans="1:4" x14ac:dyDescent="0.25">
      <c r="A138" s="2" t="str">
        <f>"2.1.2.01.07- AEB - Assoc. Empreg. BHTRANS"</f>
        <v>2.1.2.01.07- AEB - Assoc. Empreg. BHTRANS</v>
      </c>
      <c r="B138" s="10">
        <v>4800.46</v>
      </c>
      <c r="C138" s="10">
        <v>-161.69</v>
      </c>
      <c r="D138" s="10">
        <v>4638.7700000000004</v>
      </c>
    </row>
    <row r="139" spans="1:4" x14ac:dyDescent="0.25">
      <c r="A139" s="2" t="str">
        <f>"2.1.2.01.09- INSS a Recolher s/Autonomos"</f>
        <v>2.1.2.01.09- INSS a Recolher s/Autonomos</v>
      </c>
      <c r="B139" s="10">
        <v>1630.12</v>
      </c>
      <c r="C139" s="10">
        <v>1489.19</v>
      </c>
      <c r="D139" s="10">
        <v>3119.31</v>
      </c>
    </row>
    <row r="140" spans="1:4" x14ac:dyDescent="0.25">
      <c r="A140" s="2" t="str">
        <f>"2.1.2.01.10- INSS s/Provisao de 13.Salario"</f>
        <v>2.1.2.01.10- INSS s/Provisao de 13.Salario</v>
      </c>
      <c r="B140" s="10">
        <v>408534.85</v>
      </c>
      <c r="C140" s="10">
        <v>152723.72</v>
      </c>
      <c r="D140" s="10">
        <v>561258.56999999995</v>
      </c>
    </row>
    <row r="141" spans="1:4" x14ac:dyDescent="0.25">
      <c r="A141" s="2" t="str">
        <f>"2.1.2.01.11- FGTS s/Provisao de 13.Salario"</f>
        <v>2.1.2.01.11- FGTS s/Provisao de 13.Salario</v>
      </c>
      <c r="B141" s="10">
        <v>85151.19</v>
      </c>
      <c r="C141" s="10">
        <v>25486.78</v>
      </c>
      <c r="D141" s="10">
        <v>110637.97</v>
      </c>
    </row>
    <row r="142" spans="1:4" x14ac:dyDescent="0.25">
      <c r="A142" s="2" t="str">
        <f>"2.1.2.01.12- FGTS s/Provisao de Ferias"</f>
        <v>2.1.2.01.12- FGTS s/Provisao de Ferias</v>
      </c>
      <c r="B142" s="10">
        <v>542066.81999999995</v>
      </c>
      <c r="C142" s="10">
        <v>32336.61</v>
      </c>
      <c r="D142" s="10">
        <v>574403.43000000005</v>
      </c>
    </row>
    <row r="143" spans="1:4" x14ac:dyDescent="0.25">
      <c r="A143" s="2" t="str">
        <f>"2.1.2.01.13- Contribuicao ao PAMEH"</f>
        <v>2.1.2.01.13- Contribuicao ao PAMEH</v>
      </c>
      <c r="B143" s="10">
        <v>509293.27</v>
      </c>
      <c r="C143" s="10">
        <v>-1651.54</v>
      </c>
      <c r="D143" s="10">
        <v>507641.73</v>
      </c>
    </row>
    <row r="144" spans="1:4" x14ac:dyDescent="0.25">
      <c r="A144" s="2" t="str">
        <f>"2.1.2.01.15- Crediserv-BH"</f>
        <v>2.1.2.01.15- Crediserv-BH</v>
      </c>
      <c r="B144" s="10">
        <v>21344.799999999999</v>
      </c>
      <c r="C144" s="10">
        <v>324.54000000000002</v>
      </c>
      <c r="D144" s="10">
        <v>21669.34</v>
      </c>
    </row>
    <row r="145" spans="1:4" x14ac:dyDescent="0.25">
      <c r="A145" s="2" t="str">
        <f>"2.1.2.01.16- INSS Fonte a Recolher - PJ"</f>
        <v>2.1.2.01.16- INSS Fonte a Recolher - PJ</v>
      </c>
      <c r="B145" s="10">
        <v>248700.4</v>
      </c>
      <c r="C145" s="10">
        <v>-120539.07</v>
      </c>
      <c r="D145" s="10">
        <v>128161.33</v>
      </c>
    </row>
    <row r="146" spans="1:4" x14ac:dyDescent="0.25">
      <c r="A146" s="2" t="str">
        <f>"2.1.2.01.18- INSS Fonte a Recolher - P F"</f>
        <v>2.1.2.01.18- INSS Fonte a Recolher - P F</v>
      </c>
      <c r="B146" s="10">
        <v>876.29</v>
      </c>
      <c r="C146" s="10">
        <v>571.49</v>
      </c>
      <c r="D146" s="10">
        <v>1447.78</v>
      </c>
    </row>
    <row r="147" spans="1:4" x14ac:dyDescent="0.25">
      <c r="A147" s="2" t="str">
        <f>"2.1.2.01.19- ASFIM - PBH"</f>
        <v>2.1.2.01.19- ASFIM - PBH</v>
      </c>
      <c r="B147" s="10">
        <v>520</v>
      </c>
      <c r="C147" s="10">
        <v>-520</v>
      </c>
      <c r="D147" s="10">
        <v>0</v>
      </c>
    </row>
    <row r="148" spans="1:4" x14ac:dyDescent="0.25">
      <c r="A148" s="2" t="str">
        <f>"2.1.3.00.00- OBRIGACOES FISCAIS A CURTO PRAZO"</f>
        <v>2.1.3.00.00- OBRIGACOES FISCAIS A CURTO PRAZO</v>
      </c>
      <c r="B148" s="10">
        <v>1855065.37</v>
      </c>
      <c r="C148" s="10">
        <v>129290.75</v>
      </c>
      <c r="D148" s="10">
        <v>1984356.12</v>
      </c>
    </row>
    <row r="149" spans="1:4" x14ac:dyDescent="0.25">
      <c r="A149" s="2" t="str">
        <f>"2.1.3.01.00- IMPOSTOS E TAXAS A RECOLHER"</f>
        <v>2.1.3.01.00- IMPOSTOS E TAXAS A RECOLHER</v>
      </c>
      <c r="B149" s="10">
        <v>1855065.37</v>
      </c>
      <c r="C149" s="10">
        <v>129290.75</v>
      </c>
      <c r="D149" s="10">
        <v>1984356.12</v>
      </c>
    </row>
    <row r="150" spans="1:4" x14ac:dyDescent="0.25">
      <c r="A150" s="2" t="str">
        <f>"2.1.3.01.01- IRRF Fonte Folha Pagto"</f>
        <v>2.1.3.01.01- IRRF Fonte Folha Pagto</v>
      </c>
      <c r="B150" s="10">
        <v>871301.79</v>
      </c>
      <c r="C150" s="10">
        <v>-264088.65000000002</v>
      </c>
      <c r="D150" s="10">
        <v>607213.14</v>
      </c>
    </row>
    <row r="151" spans="1:4" x14ac:dyDescent="0.25">
      <c r="A151" s="2" t="str">
        <f>"2.1.3.01.03- IRRF Fonte - Pessoa  Juridica e Física"</f>
        <v>2.1.3.01.03- IRRF Fonte - Pessoa  Juridica e Física</v>
      </c>
      <c r="B151" s="10">
        <v>24721.01</v>
      </c>
      <c r="C151" s="10">
        <v>-11643.93</v>
      </c>
      <c r="D151" s="10">
        <v>13077.08</v>
      </c>
    </row>
    <row r="152" spans="1:4" x14ac:dyDescent="0.25">
      <c r="A152" s="2" t="str">
        <f>"2.1.3.01.04- ISS Retido Fonte PF"</f>
        <v>2.1.3.01.04- ISS Retido Fonte PF</v>
      </c>
      <c r="B152" s="10">
        <v>125</v>
      </c>
      <c r="C152" s="10">
        <v>150</v>
      </c>
      <c r="D152" s="10">
        <v>275</v>
      </c>
    </row>
    <row r="153" spans="1:4" x14ac:dyDescent="0.25">
      <c r="A153" s="2" t="str">
        <f>"2.1.3.01.05- ISS S/ Faturamento"</f>
        <v>2.1.3.01.05- ISS S/ Faturamento</v>
      </c>
      <c r="B153" s="10">
        <v>1788.2</v>
      </c>
      <c r="C153" s="10">
        <v>104.45</v>
      </c>
      <c r="D153" s="10">
        <v>1892.65</v>
      </c>
    </row>
    <row r="154" spans="1:4" x14ac:dyDescent="0.25">
      <c r="A154" s="2" t="str">
        <f>"2.1.3.01.07- COFINS a Recolher"</f>
        <v>2.1.3.01.07- COFINS a Recolher</v>
      </c>
      <c r="B154" s="10">
        <v>676413.87</v>
      </c>
      <c r="C154" s="10">
        <v>379516.51</v>
      </c>
      <c r="D154" s="10">
        <v>1055930.3799999999</v>
      </c>
    </row>
    <row r="155" spans="1:4" x14ac:dyDescent="0.25">
      <c r="A155" s="2" t="str">
        <f>"2.1.3.01.08- PIS a Recolher"</f>
        <v>2.1.3.01.08- PIS a Recolher</v>
      </c>
      <c r="B155" s="10">
        <v>146725.88</v>
      </c>
      <c r="C155" s="10">
        <v>82330.61</v>
      </c>
      <c r="D155" s="10">
        <v>229056.49</v>
      </c>
    </row>
    <row r="156" spans="1:4" x14ac:dyDescent="0.25">
      <c r="A156" s="2" t="str">
        <f>"2.1.3.01.09- ISS Fonte a Recolher P.Juridica"</f>
        <v>2.1.3.01.09- ISS Fonte a Recolher P.Juridica</v>
      </c>
      <c r="B156" s="10">
        <v>6272.9</v>
      </c>
      <c r="C156" s="10">
        <v>400.89</v>
      </c>
      <c r="D156" s="10">
        <v>6673.79</v>
      </c>
    </row>
    <row r="157" spans="1:4" x14ac:dyDescent="0.25">
      <c r="A157" s="2" t="str">
        <f>"2.1.3.01.12- CSLL-COFINS-PIS - FONTE"</f>
        <v>2.1.3.01.12- CSLL-COFINS-PIS - FONTE</v>
      </c>
      <c r="B157" s="10">
        <v>127716.72</v>
      </c>
      <c r="C157" s="10">
        <v>-57479.13</v>
      </c>
      <c r="D157" s="10">
        <v>70237.59</v>
      </c>
    </row>
    <row r="158" spans="1:4" x14ac:dyDescent="0.25">
      <c r="A158" s="2" t="str">
        <f>"2.1.4.00.00- OUTRAS OBRIGACOES A CURTO PRAZO"</f>
        <v>2.1.4.00.00- OUTRAS OBRIGACOES A CURTO PRAZO</v>
      </c>
      <c r="B158" s="10">
        <v>45758286.259999998</v>
      </c>
      <c r="C158" s="10">
        <v>1527132.32</v>
      </c>
      <c r="D158" s="10">
        <v>47285418.579999998</v>
      </c>
    </row>
    <row r="159" spans="1:4" x14ac:dyDescent="0.25">
      <c r="A159" s="2" t="str">
        <f>"2.1.4.01.00- FORNECEDORES"</f>
        <v>2.1.4.01.00- FORNECEDORES</v>
      </c>
      <c r="B159" s="10">
        <v>3325761.25</v>
      </c>
      <c r="C159" s="10">
        <v>-534609.14</v>
      </c>
      <c r="D159" s="10">
        <v>2791152.11</v>
      </c>
    </row>
    <row r="160" spans="1:4" x14ac:dyDescent="0.25">
      <c r="A160" s="2" t="str">
        <f>"2.1.4.01.99- Fornecedores"</f>
        <v>2.1.4.01.99- Fornecedores</v>
      </c>
      <c r="B160" s="10">
        <v>3325761.25</v>
      </c>
      <c r="C160" s="10">
        <v>-534609.14</v>
      </c>
      <c r="D160" s="10">
        <v>2791152.11</v>
      </c>
    </row>
    <row r="161" spans="1:4" x14ac:dyDescent="0.25">
      <c r="A161" s="2" t="str">
        <f>"2.1.4.02.00- CONTAS A PAGAR"</f>
        <v>2.1.4.02.00- CONTAS A PAGAR</v>
      </c>
      <c r="B161" s="10">
        <v>297978.19</v>
      </c>
      <c r="C161" s="10">
        <v>3924.15</v>
      </c>
      <c r="D161" s="10">
        <v>301902.34000000003</v>
      </c>
    </row>
    <row r="162" spans="1:4" x14ac:dyDescent="0.25">
      <c r="A162" s="2" t="str">
        <f>"2.1.4.02.01- Emprestimo Consignado - Bradesco"</f>
        <v>2.1.4.02.01- Emprestimo Consignado - Bradesco</v>
      </c>
      <c r="B162" s="10">
        <v>124622.89</v>
      </c>
      <c r="C162" s="10">
        <v>5092.43</v>
      </c>
      <c r="D162" s="10">
        <v>129715.32</v>
      </c>
    </row>
    <row r="163" spans="1:4" x14ac:dyDescent="0.25">
      <c r="A163" s="2" t="str">
        <f>"2.1.4.02.03- Emprestimo Consignado - CEF"</f>
        <v>2.1.4.02.03- Emprestimo Consignado - CEF</v>
      </c>
      <c r="B163" s="10">
        <v>26086.62</v>
      </c>
      <c r="C163" s="10">
        <v>290.52999999999997</v>
      </c>
      <c r="D163" s="10">
        <v>26377.15</v>
      </c>
    </row>
    <row r="164" spans="1:4" x14ac:dyDescent="0.25">
      <c r="A164" s="2" t="str">
        <f>"2.1.4.02.04- Emprestimo Consignado - B.Brasil"</f>
        <v>2.1.4.02.04- Emprestimo Consignado - B.Brasil</v>
      </c>
      <c r="B164" s="10">
        <v>52430.720000000001</v>
      </c>
      <c r="C164" s="10">
        <v>-2065.29</v>
      </c>
      <c r="D164" s="10">
        <v>50365.43</v>
      </c>
    </row>
    <row r="165" spans="1:4" x14ac:dyDescent="0.25">
      <c r="A165" s="2" t="str">
        <f>"2.1.4.02.05- Emprestimo Consignado-Banco Alfa"</f>
        <v>2.1.4.02.05- Emprestimo Consignado-Banco Alfa</v>
      </c>
      <c r="B165" s="10">
        <v>58297.11</v>
      </c>
      <c r="C165" s="10">
        <v>-928.48</v>
      </c>
      <c r="D165" s="10">
        <v>57368.63</v>
      </c>
    </row>
    <row r="166" spans="1:4" x14ac:dyDescent="0.25">
      <c r="A166" s="2" t="str">
        <f>"2.1.4.02.07- Emprestimo Consignado - B. Safra"</f>
        <v>2.1.4.02.07- Emprestimo Consignado - B. Safra</v>
      </c>
      <c r="B166" s="10">
        <v>15732.65</v>
      </c>
      <c r="C166" s="10">
        <v>0</v>
      </c>
      <c r="D166" s="10">
        <v>15732.65</v>
      </c>
    </row>
    <row r="167" spans="1:4" x14ac:dyDescent="0.25">
      <c r="A167" s="2" t="str">
        <f>"2.1.4.02.09- Emprestimo Consignado - BMC"</f>
        <v>2.1.4.02.09- Emprestimo Consignado - BMC</v>
      </c>
      <c r="B167" s="10">
        <v>307.8</v>
      </c>
      <c r="C167" s="10">
        <v>0</v>
      </c>
      <c r="D167" s="10">
        <v>307.8</v>
      </c>
    </row>
    <row r="168" spans="1:4" x14ac:dyDescent="0.25">
      <c r="A168" s="2" t="str">
        <f>"2.1.4.02.10- Cartão - BMG Card"</f>
        <v>2.1.4.02.10- Cartão - BMG Card</v>
      </c>
      <c r="B168" s="10">
        <v>9430.26</v>
      </c>
      <c r="C168" s="10">
        <v>523.4</v>
      </c>
      <c r="D168" s="10">
        <v>9953.66</v>
      </c>
    </row>
    <row r="169" spans="1:4" x14ac:dyDescent="0.25">
      <c r="A169" s="2" t="str">
        <f>"2.1.4.02.12- Custas judiciais"</f>
        <v>2.1.4.02.12- Custas judiciais</v>
      </c>
      <c r="B169" s="10">
        <v>110</v>
      </c>
      <c r="C169" s="10">
        <v>982.26</v>
      </c>
      <c r="D169" s="10">
        <v>1092.26</v>
      </c>
    </row>
    <row r="170" spans="1:4" x14ac:dyDescent="0.25">
      <c r="A170" s="2" t="str">
        <f>"2.1.4.02.99- Contas a Pagar"</f>
        <v>2.1.4.02.99- Contas a Pagar</v>
      </c>
      <c r="B170" s="10">
        <v>10960.14</v>
      </c>
      <c r="C170" s="10">
        <v>29.3</v>
      </c>
      <c r="D170" s="10">
        <v>10989.44</v>
      </c>
    </row>
    <row r="171" spans="1:4" x14ac:dyDescent="0.25">
      <c r="A171" s="2" t="str">
        <f>"2.1.4.03.00- CREDORES DIVERSOS"</f>
        <v>2.1.4.03.00- CREDORES DIVERSOS</v>
      </c>
      <c r="B171" s="10">
        <v>41349612.990000002</v>
      </c>
      <c r="C171" s="10">
        <v>1968138.66</v>
      </c>
      <c r="D171" s="10">
        <v>43317751.649999999</v>
      </c>
    </row>
    <row r="172" spans="1:4" x14ac:dyDescent="0.25">
      <c r="A172" s="2" t="str">
        <f>"2.1.4.03.07- Adiantamento Acionista - Municipio BH"</f>
        <v>2.1.4.03.07- Adiantamento Acionista - Municipio BH</v>
      </c>
      <c r="B172" s="10">
        <v>40340149.759999998</v>
      </c>
      <c r="C172" s="10">
        <v>1983593.86</v>
      </c>
      <c r="D172" s="10">
        <v>42323743.619999997</v>
      </c>
    </row>
    <row r="173" spans="1:4" x14ac:dyDescent="0.25">
      <c r="A173" s="2" t="str">
        <f>"2.1.4.03.17- Adiantamento de Clientes"</f>
        <v>2.1.4.03.17- Adiantamento de Clientes</v>
      </c>
      <c r="B173" s="10">
        <v>1009463.23</v>
      </c>
      <c r="C173" s="10">
        <v>-15455.2</v>
      </c>
      <c r="D173" s="10">
        <v>994008.03</v>
      </c>
    </row>
    <row r="174" spans="1:4" x14ac:dyDescent="0.25">
      <c r="A174" s="2" t="str">
        <f>"2.1.4.04.00- CAUCAO DE TERCEIROS/LEILAO"</f>
        <v>2.1.4.04.00- CAUCAO DE TERCEIROS/LEILAO</v>
      </c>
      <c r="B174" s="10">
        <v>784933.83</v>
      </c>
      <c r="C174" s="10">
        <v>89678.65</v>
      </c>
      <c r="D174" s="10">
        <v>874612.48</v>
      </c>
    </row>
    <row r="175" spans="1:4" x14ac:dyDescent="0.25">
      <c r="A175" s="2" t="str">
        <f>"2.1.4.04.98- Leilões"</f>
        <v>2.1.4.04.98- Leilões</v>
      </c>
      <c r="B175" s="10">
        <v>464970.44</v>
      </c>
      <c r="C175" s="10">
        <v>89204.05</v>
      </c>
      <c r="D175" s="10">
        <v>554174.49</v>
      </c>
    </row>
    <row r="176" spans="1:4" x14ac:dyDescent="0.25">
      <c r="A176" s="2" t="str">
        <f>"2.1.4.04.99- Caucao de Terceiros"</f>
        <v>2.1.4.04.99- Caucao de Terceiros</v>
      </c>
      <c r="B176" s="10">
        <v>319963.39</v>
      </c>
      <c r="C176" s="10">
        <v>474.6</v>
      </c>
      <c r="D176" s="10">
        <v>320437.99</v>
      </c>
    </row>
    <row r="177" spans="1:4" x14ac:dyDescent="0.25">
      <c r="A177" s="2" t="str">
        <f>"2.1.6.00.00- OBRIGACOES VINC. A PAGAR-PAMEH"</f>
        <v>2.1.6.00.00- OBRIGACOES VINC. A PAGAR-PAMEH</v>
      </c>
      <c r="B177" s="10">
        <v>42505.279999999999</v>
      </c>
      <c r="C177" s="10">
        <v>4748.4399999999996</v>
      </c>
      <c r="D177" s="10">
        <v>47253.72</v>
      </c>
    </row>
    <row r="178" spans="1:4" x14ac:dyDescent="0.25">
      <c r="A178" s="2" t="str">
        <f>"2.1.6.01.00- OBRIGACOES VINC. -PAMEH"</f>
        <v>2.1.6.01.00- OBRIGACOES VINC. -PAMEH</v>
      </c>
      <c r="B178" s="10">
        <v>42505.279999999999</v>
      </c>
      <c r="C178" s="10">
        <v>4748.4399999999996</v>
      </c>
      <c r="D178" s="10">
        <v>47253.72</v>
      </c>
    </row>
    <row r="179" spans="1:4" x14ac:dyDescent="0.25">
      <c r="A179" s="2" t="str">
        <f>"2.1.6.01.01- Obrigacoes Vinculadas - PAMEH"</f>
        <v>2.1.6.01.01- Obrigacoes Vinculadas - PAMEH</v>
      </c>
      <c r="B179" s="10">
        <v>42505.279999999999</v>
      </c>
      <c r="C179" s="10">
        <v>4748.4399999999996</v>
      </c>
      <c r="D179" s="10">
        <v>47253.72</v>
      </c>
    </row>
    <row r="180" spans="1:4" x14ac:dyDescent="0.25">
      <c r="A180" s="2" t="str">
        <f>"2.2.0.00.00- PASSIVO NAO CIRCULANTE"</f>
        <v>2.2.0.00.00- PASSIVO NAO CIRCULANTE</v>
      </c>
      <c r="B180" s="10">
        <v>47988897.109999999</v>
      </c>
      <c r="C180" s="10">
        <v>-91349.93</v>
      </c>
      <c r="D180" s="10">
        <v>47897547.18</v>
      </c>
    </row>
    <row r="181" spans="1:4" x14ac:dyDescent="0.25">
      <c r="A181" s="2" t="str">
        <f>"2.2.4.00.00- OUTRAS OBRIGACOES A LONGO PRAZO"</f>
        <v>2.2.4.00.00- OUTRAS OBRIGACOES A LONGO PRAZO</v>
      </c>
      <c r="B181" s="10">
        <v>44594066.869999997</v>
      </c>
      <c r="C181" s="10">
        <v>-2362.17</v>
      </c>
      <c r="D181" s="10">
        <v>44591704.700000003</v>
      </c>
    </row>
    <row r="182" spans="1:4" x14ac:dyDescent="0.25">
      <c r="A182" s="2" t="str">
        <f>"2.2.4.01.00- CREDORES DIVERSOS"</f>
        <v>2.2.4.01.00- CREDORES DIVERSOS</v>
      </c>
      <c r="B182" s="10">
        <v>10868557.66</v>
      </c>
      <c r="C182" s="10">
        <v>0</v>
      </c>
      <c r="D182" s="10">
        <v>10868557.66</v>
      </c>
    </row>
    <row r="183" spans="1:4" x14ac:dyDescent="0.25">
      <c r="A183" s="2" t="str">
        <f>"2.2.4.01.04- Provisão para Contingências Fiscais"</f>
        <v>2.2.4.01.04- Provisão para Contingências Fiscais</v>
      </c>
      <c r="B183" s="10">
        <v>9926702.7200000007</v>
      </c>
      <c r="C183" s="10">
        <v>0</v>
      </c>
      <c r="D183" s="10">
        <v>9926702.7200000007</v>
      </c>
    </row>
    <row r="184" spans="1:4" x14ac:dyDescent="0.25">
      <c r="A184" s="2" t="str">
        <f>"2.2.4.01.05- INSS Segurados"</f>
        <v>2.2.4.01.05- INSS Segurados</v>
      </c>
      <c r="B184" s="10">
        <v>941854.94</v>
      </c>
      <c r="C184" s="10">
        <v>0</v>
      </c>
      <c r="D184" s="10">
        <v>941854.94</v>
      </c>
    </row>
    <row r="185" spans="1:4" x14ac:dyDescent="0.25">
      <c r="A185" s="2" t="str">
        <f>"2.2.4.04.00- ACOES JUDICIAIS E TRABALHISTAS"</f>
        <v>2.2.4.04.00- ACOES JUDICIAIS E TRABALHISTAS</v>
      </c>
      <c r="B185" s="10">
        <v>33725509.210000001</v>
      </c>
      <c r="C185" s="10">
        <v>-2362.17</v>
      </c>
      <c r="D185" s="10">
        <v>33723147.039999999</v>
      </c>
    </row>
    <row r="186" spans="1:4" x14ac:dyDescent="0.25">
      <c r="A186" s="2" t="str">
        <f>"2.2.4.04.01- Acoes judiciais"</f>
        <v>2.2.4.04.01- Acoes judiciais</v>
      </c>
      <c r="B186" s="10">
        <v>16494009.210000001</v>
      </c>
      <c r="C186" s="10">
        <v>0</v>
      </c>
      <c r="D186" s="10">
        <v>16494009.210000001</v>
      </c>
    </row>
    <row r="187" spans="1:4" x14ac:dyDescent="0.25">
      <c r="A187" s="2" t="str">
        <f>"2.2.4.04.02- Acoes trabalhistas"</f>
        <v>2.2.4.04.02- Acoes trabalhistas</v>
      </c>
      <c r="B187" s="10">
        <v>17231500</v>
      </c>
      <c r="C187" s="10">
        <v>-2362.17</v>
      </c>
      <c r="D187" s="10">
        <v>17229137.829999998</v>
      </c>
    </row>
    <row r="188" spans="1:4" x14ac:dyDescent="0.25">
      <c r="A188" s="2" t="str">
        <f>"2.2.5.00.00- OBRIGACOES VINC.  AO PAMEH"</f>
        <v>2.2.5.00.00- OBRIGACOES VINC.  AO PAMEH</v>
      </c>
      <c r="B188" s="10">
        <v>3394830.24</v>
      </c>
      <c r="C188" s="10">
        <v>-88987.76</v>
      </c>
      <c r="D188" s="10">
        <v>3305842.48</v>
      </c>
    </row>
    <row r="189" spans="1:4" x14ac:dyDescent="0.25">
      <c r="A189" s="2" t="str">
        <f>"2.2.5.01.00- OBRIGACOES VINC.  AO PAMEH"</f>
        <v>2.2.5.01.00- OBRIGACOES VINC.  AO PAMEH</v>
      </c>
      <c r="B189" s="10">
        <v>3394830.24</v>
      </c>
      <c r="C189" s="10">
        <v>-88987.76</v>
      </c>
      <c r="D189" s="10">
        <v>3305842.48</v>
      </c>
    </row>
    <row r="190" spans="1:4" x14ac:dyDescent="0.25">
      <c r="A190" s="2" t="str">
        <f>"2.2.5.01.01- Resultado Exerc.Anteriores-PAMEH"</f>
        <v>2.2.5.01.01- Resultado Exerc.Anteriores-PAMEH</v>
      </c>
      <c r="B190" s="10">
        <v>3478307.51</v>
      </c>
      <c r="C190" s="10">
        <v>0</v>
      </c>
      <c r="D190" s="10">
        <v>3478307.51</v>
      </c>
    </row>
    <row r="191" spans="1:4" x14ac:dyDescent="0.25">
      <c r="A191" s="2" t="str">
        <f>"2.2.5.01.02- Resultado deste Exercicio-PAMEH"</f>
        <v>2.2.5.01.02- Resultado deste Exercicio-PAMEH</v>
      </c>
      <c r="B191" s="10">
        <v>-83477.27</v>
      </c>
      <c r="C191" s="10">
        <v>-88987.76</v>
      </c>
      <c r="D191" s="10">
        <v>-172465.03</v>
      </c>
    </row>
    <row r="192" spans="1:4" x14ac:dyDescent="0.25">
      <c r="A192" s="2" t="str">
        <f>"2.4.0.00.00- PATRIMONIO LIQUIDO"</f>
        <v>2.4.0.00.00- PATRIMONIO LIQUIDO</v>
      </c>
      <c r="B192" s="10">
        <v>-76821221.799999997</v>
      </c>
      <c r="C192" s="10">
        <v>84546.91</v>
      </c>
      <c r="D192" s="10">
        <v>-76736674.890000001</v>
      </c>
    </row>
    <row r="193" spans="1:4" x14ac:dyDescent="0.25">
      <c r="A193" s="2" t="str">
        <f>"2.4.1.00.00- CAPITAL SOCIAL"</f>
        <v>2.4.1.00.00- CAPITAL SOCIAL</v>
      </c>
      <c r="B193" s="10">
        <v>67418193.159999996</v>
      </c>
      <c r="C193" s="10">
        <v>0</v>
      </c>
      <c r="D193" s="10">
        <v>67418193.159999996</v>
      </c>
    </row>
    <row r="194" spans="1:4" x14ac:dyDescent="0.25">
      <c r="A194" s="2" t="str">
        <f>"2.4.1.02.00- CAPITAL REALIZADO"</f>
        <v>2.4.1.02.00- CAPITAL REALIZADO</v>
      </c>
      <c r="B194" s="10">
        <v>67418193.159999996</v>
      </c>
      <c r="C194" s="10">
        <v>0</v>
      </c>
      <c r="D194" s="10">
        <v>67418193.159999996</v>
      </c>
    </row>
    <row r="195" spans="1:4" x14ac:dyDescent="0.25">
      <c r="A195" s="2" t="str">
        <f>"2.4.1.02.01- Capital Subscrito"</f>
        <v>2.4.1.02.01- Capital Subscrito</v>
      </c>
      <c r="B195" s="10">
        <v>75000000</v>
      </c>
      <c r="C195" s="10">
        <v>0</v>
      </c>
      <c r="D195" s="10">
        <v>75000000</v>
      </c>
    </row>
    <row r="196" spans="1:4" x14ac:dyDescent="0.25">
      <c r="A196" s="2" t="str">
        <f>"2.4.1.02.04- Capital a Realizar"</f>
        <v>2.4.1.02.04- Capital a Realizar</v>
      </c>
      <c r="B196" s="10">
        <v>-7581806.8399999999</v>
      </c>
      <c r="C196" s="10">
        <v>0</v>
      </c>
      <c r="D196" s="10">
        <v>-7581806.8399999999</v>
      </c>
    </row>
    <row r="197" spans="1:4" x14ac:dyDescent="0.25">
      <c r="A197" s="2" t="str">
        <f>"2.4.3.00.00- RESULTADOS ACUMULADOS"</f>
        <v>2.4.3.00.00- RESULTADOS ACUMULADOS</v>
      </c>
      <c r="B197" s="10">
        <v>-144239414.96000001</v>
      </c>
      <c r="C197" s="10">
        <v>84546.91</v>
      </c>
      <c r="D197" s="10">
        <v>-144154868.05000001</v>
      </c>
    </row>
    <row r="198" spans="1:4" x14ac:dyDescent="0.25">
      <c r="A198" s="2" t="str">
        <f>"2.4.3.01.00- LUCROS/PREJUIZOS ACUMULADOS"</f>
        <v>2.4.3.01.00- LUCROS/PREJUIZOS ACUMULADOS</v>
      </c>
      <c r="B198" s="10">
        <v>-144239414.96000001</v>
      </c>
      <c r="C198" s="10">
        <v>84546.91</v>
      </c>
      <c r="D198" s="10">
        <v>-144154868.05000001</v>
      </c>
    </row>
    <row r="199" spans="1:4" x14ac:dyDescent="0.25">
      <c r="A199" s="2" t="str">
        <f>"2.4.3.01.01- Resultados de Exerc. Anteriores"</f>
        <v>2.4.3.01.01- Resultados de Exerc. Anteriores</v>
      </c>
      <c r="B199" s="10">
        <v>-144079394.25</v>
      </c>
      <c r="C199" s="10">
        <v>0</v>
      </c>
      <c r="D199" s="10">
        <v>-144079394.25</v>
      </c>
    </row>
    <row r="200" spans="1:4" x14ac:dyDescent="0.25">
      <c r="A200" s="2" t="str">
        <f>"2.4.3.01.03- Ajuste do Exercicio Anterior"</f>
        <v>2.4.3.01.03- Ajuste do Exercicio Anterior</v>
      </c>
      <c r="B200" s="10">
        <v>-160020.71</v>
      </c>
      <c r="C200" s="10">
        <v>84546.91</v>
      </c>
      <c r="D200" s="10">
        <v>-75473.8</v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""</f>
        <v/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""</f>
        <v/>
      </c>
      <c r="B205" s="3" t="str">
        <f>""</f>
        <v/>
      </c>
      <c r="C205" s="3" t="str">
        <f>""</f>
        <v/>
      </c>
      <c r="D205" s="3" t="str">
        <f>""</f>
        <v/>
      </c>
    </row>
    <row r="206" spans="1:4" x14ac:dyDescent="0.25">
      <c r="A206" s="2" t="str">
        <f>""</f>
        <v/>
      </c>
      <c r="B206" s="3" t="str">
        <f>""</f>
        <v/>
      </c>
      <c r="C206" s="3" t="str">
        <f>""</f>
        <v/>
      </c>
      <c r="D206" s="3" t="str">
        <f>""</f>
        <v/>
      </c>
    </row>
    <row r="207" spans="1:4" x14ac:dyDescent="0.25">
      <c r="A207" s="2" t="str">
        <f>""</f>
        <v/>
      </c>
      <c r="B207" s="3" t="str">
        <f>""</f>
        <v/>
      </c>
      <c r="C207" s="3" t="str">
        <f>""</f>
        <v/>
      </c>
      <c r="D207" s="3" t="str">
        <f>""</f>
        <v/>
      </c>
    </row>
    <row r="208" spans="1:4" x14ac:dyDescent="0.25">
      <c r="A208" s="2" t="str">
        <f>"DESPESAS"</f>
        <v>DESPESAS</v>
      </c>
      <c r="B208" s="3" t="str">
        <f>""</f>
        <v/>
      </c>
      <c r="C208" s="3" t="str">
        <f>""</f>
        <v/>
      </c>
      <c r="D208" s="3" t="str">
        <f>""</f>
        <v/>
      </c>
    </row>
    <row r="209" spans="1:4" x14ac:dyDescent="0.25">
      <c r="A209" s="2" t="str">
        <f>"3.0.0.00.00- DESPESAS"</f>
        <v>3.0.0.00.00- DESPESAS</v>
      </c>
      <c r="B209" s="10">
        <v>37969842.18</v>
      </c>
      <c r="C209" s="10">
        <v>15326079.82</v>
      </c>
      <c r="D209" s="10">
        <v>53295922</v>
      </c>
    </row>
    <row r="210" spans="1:4" x14ac:dyDescent="0.25">
      <c r="A210" s="2" t="str">
        <f>"3.1.0.00.00- DESPESAS OPERACIONAIS"</f>
        <v>3.1.0.00.00- DESPESAS OPERACIONAIS</v>
      </c>
      <c r="B210" s="10">
        <v>37969842.18</v>
      </c>
      <c r="C210" s="10">
        <v>15326079.82</v>
      </c>
      <c r="D210" s="10">
        <v>53295922</v>
      </c>
    </row>
    <row r="211" spans="1:4" x14ac:dyDescent="0.25">
      <c r="A211" s="2" t="str">
        <f>"3.1.1.00.00- SALARIOS ADICIONAIS E HONORARIOS"</f>
        <v>3.1.1.00.00- SALARIOS ADICIONAIS E HONORARIOS</v>
      </c>
      <c r="B211" s="10">
        <v>20465420.329999998</v>
      </c>
      <c r="C211" s="10">
        <v>7455472.8099999996</v>
      </c>
      <c r="D211" s="10">
        <v>27920893.140000001</v>
      </c>
    </row>
    <row r="212" spans="1:4" x14ac:dyDescent="0.25">
      <c r="A212" s="2" t="str">
        <f>"3.1.1.00.01- Honorarios diretoria"</f>
        <v>3.1.1.00.01- Honorarios diretoria</v>
      </c>
      <c r="B212" s="10">
        <v>254533.19</v>
      </c>
      <c r="C212" s="10">
        <v>110492.94</v>
      </c>
      <c r="D212" s="10">
        <v>365026.13</v>
      </c>
    </row>
    <row r="213" spans="1:4" x14ac:dyDescent="0.25">
      <c r="A213" s="2" t="str">
        <f>"3.1.1.00.02- Honorarios conselho fiscal"</f>
        <v>3.1.1.00.02- Honorarios conselho fiscal</v>
      </c>
      <c r="B213" s="10">
        <v>15934.5</v>
      </c>
      <c r="C213" s="10">
        <v>5311.5</v>
      </c>
      <c r="D213" s="10">
        <v>21246</v>
      </c>
    </row>
    <row r="214" spans="1:4" x14ac:dyDescent="0.25">
      <c r="A214" s="2" t="str">
        <f>"3.1.1.00.03- Honorarios cons. administracao"</f>
        <v>3.1.1.00.03- Honorarios cons. administracao</v>
      </c>
      <c r="B214" s="10">
        <v>29760.01</v>
      </c>
      <c r="C214" s="10">
        <v>8810.08</v>
      </c>
      <c r="D214" s="10">
        <v>38570.089999999997</v>
      </c>
    </row>
    <row r="215" spans="1:4" x14ac:dyDescent="0.25">
      <c r="A215" s="2" t="str">
        <f>"3.1.1.00.04- Salarios e adicionais"</f>
        <v>3.1.1.00.04- Salarios e adicionais</v>
      </c>
      <c r="B215" s="10">
        <v>16605307.199999999</v>
      </c>
      <c r="C215" s="10">
        <v>5897203.4800000004</v>
      </c>
      <c r="D215" s="10">
        <v>22502510.68</v>
      </c>
    </row>
    <row r="216" spans="1:4" x14ac:dyDescent="0.25">
      <c r="A216" s="2" t="str">
        <f>"3.1.1.00.05- Ferias e abono pecuniario"</f>
        <v>3.1.1.00.05- Ferias e abono pecuniario</v>
      </c>
      <c r="B216" s="10">
        <v>2102094</v>
      </c>
      <c r="C216" s="10">
        <v>888715.81</v>
      </c>
      <c r="D216" s="10">
        <v>2990809.81</v>
      </c>
    </row>
    <row r="217" spans="1:4" x14ac:dyDescent="0.25">
      <c r="A217" s="2" t="str">
        <f>"3.1.1.00.06- Decimo terceiro salario"</f>
        <v>3.1.1.00.06- Decimo terceiro salario</v>
      </c>
      <c r="B217" s="10">
        <v>1410932.49</v>
      </c>
      <c r="C217" s="10">
        <v>527347.30000000005</v>
      </c>
      <c r="D217" s="10">
        <v>1938279.79</v>
      </c>
    </row>
    <row r="218" spans="1:4" x14ac:dyDescent="0.25">
      <c r="A218" s="2" t="str">
        <f>"3.1.1.00.07- Indenizacoes trabalhistas"</f>
        <v>3.1.1.00.07- Indenizacoes trabalhistas</v>
      </c>
      <c r="B218" s="10">
        <v>10901.77</v>
      </c>
      <c r="C218" s="10">
        <v>3270.53</v>
      </c>
      <c r="D218" s="10">
        <v>14172.3</v>
      </c>
    </row>
    <row r="219" spans="1:4" x14ac:dyDescent="0.25">
      <c r="A219" s="2" t="str">
        <f>"3.1.1.00.08- Bolsas de estagiario"</f>
        <v>3.1.1.00.08- Bolsas de estagiario</v>
      </c>
      <c r="B219" s="10">
        <v>35957.17</v>
      </c>
      <c r="C219" s="10">
        <v>14321.17</v>
      </c>
      <c r="D219" s="10">
        <v>50278.34</v>
      </c>
    </row>
    <row r="220" spans="1:4" x14ac:dyDescent="0.25">
      <c r="A220" s="2" t="str">
        <f>"3.1.2.01.00- ENCARGOS SOCIAIS"</f>
        <v>3.1.2.01.00- ENCARGOS SOCIAIS</v>
      </c>
      <c r="B220" s="10">
        <v>7243799.2000000002</v>
      </c>
      <c r="C220" s="10">
        <v>2693516.97</v>
      </c>
      <c r="D220" s="10">
        <v>9937316.1699999999</v>
      </c>
    </row>
    <row r="221" spans="1:4" x14ac:dyDescent="0.25">
      <c r="A221" s="2" t="str">
        <f>"3.1.2.01.01- INSS"</f>
        <v>3.1.2.01.01- INSS</v>
      </c>
      <c r="B221" s="10">
        <v>5605867.9699999997</v>
      </c>
      <c r="C221" s="10">
        <v>2107280.91</v>
      </c>
      <c r="D221" s="10">
        <v>7713148.8799999999</v>
      </c>
    </row>
    <row r="222" spans="1:4" x14ac:dyDescent="0.25">
      <c r="A222" s="2" t="str">
        <f>"3.1.2.01.02- FGTS"</f>
        <v>3.1.2.01.02- FGTS</v>
      </c>
      <c r="B222" s="10">
        <v>1637931.23</v>
      </c>
      <c r="C222" s="10">
        <v>586236.06000000006</v>
      </c>
      <c r="D222" s="10">
        <v>2224167.29</v>
      </c>
    </row>
    <row r="223" spans="1:4" x14ac:dyDescent="0.25">
      <c r="A223" s="2" t="str">
        <f>"3.1.2.02.00- OUTRAS DESPESAS COM PESSOAL"</f>
        <v>3.1.2.02.00- OUTRAS DESPESAS COM PESSOAL</v>
      </c>
      <c r="B223" s="10">
        <v>3646141.32</v>
      </c>
      <c r="C223" s="10">
        <v>1275294.17</v>
      </c>
      <c r="D223" s="10">
        <v>4921435.49</v>
      </c>
    </row>
    <row r="224" spans="1:4" x14ac:dyDescent="0.25">
      <c r="A224" s="2" t="str">
        <f>"3.1.2.02.01- Seguros de Vida"</f>
        <v>3.1.2.02.01- Seguros de Vida</v>
      </c>
      <c r="B224" s="10">
        <v>35037.33</v>
      </c>
      <c r="C224" s="10">
        <v>6981.73</v>
      </c>
      <c r="D224" s="10">
        <v>42019.06</v>
      </c>
    </row>
    <row r="225" spans="1:4" x14ac:dyDescent="0.25">
      <c r="A225" s="2" t="str">
        <f>"3.1.2.02.02- Ass. Medica Odontologica"</f>
        <v>3.1.2.02.02- Ass. Medica Odontologica</v>
      </c>
      <c r="B225" s="10">
        <v>917739.47</v>
      </c>
      <c r="C225" s="10">
        <v>315270.2</v>
      </c>
      <c r="D225" s="10">
        <v>1233009.67</v>
      </c>
    </row>
    <row r="226" spans="1:4" x14ac:dyDescent="0.25">
      <c r="A226" s="2" t="str">
        <f>"3.1.2.02.03- Vale Transporte"</f>
        <v>3.1.2.02.03- Vale Transporte</v>
      </c>
      <c r="B226" s="10">
        <v>191167.09</v>
      </c>
      <c r="C226" s="10">
        <v>106122.5</v>
      </c>
      <c r="D226" s="10">
        <v>297289.59000000003</v>
      </c>
    </row>
    <row r="227" spans="1:4" x14ac:dyDescent="0.25">
      <c r="A227" s="2" t="str">
        <f>"3.1.2.02.04- Vale Refeicao/Alimentacao"</f>
        <v>3.1.2.02.04- Vale Refeicao/Alimentacao</v>
      </c>
      <c r="B227" s="10">
        <v>2408387.77</v>
      </c>
      <c r="C227" s="10">
        <v>802269.87</v>
      </c>
      <c r="D227" s="10">
        <v>3210657.64</v>
      </c>
    </row>
    <row r="228" spans="1:4" x14ac:dyDescent="0.25">
      <c r="A228" s="2" t="str">
        <f>"3.1.2.02.05- Compl. Auxilio Doenca"</f>
        <v>3.1.2.02.05- Compl. Auxilio Doenca</v>
      </c>
      <c r="B228" s="10">
        <v>25244.93</v>
      </c>
      <c r="C228" s="10">
        <v>9458.2900000000009</v>
      </c>
      <c r="D228" s="10">
        <v>34703.22</v>
      </c>
    </row>
    <row r="229" spans="1:4" x14ac:dyDescent="0.25">
      <c r="A229" s="2" t="str">
        <f>"3.1.2.02.06- Cursos e Treinamentos"</f>
        <v>3.1.2.02.06- Cursos e Treinamentos</v>
      </c>
      <c r="B229" s="10">
        <v>4823</v>
      </c>
      <c r="C229" s="10">
        <v>14137</v>
      </c>
      <c r="D229" s="10">
        <v>18960</v>
      </c>
    </row>
    <row r="230" spans="1:4" x14ac:dyDescent="0.25">
      <c r="A230" s="2" t="str">
        <f>"3.1.2.02.07- Auxilio Creche"</f>
        <v>3.1.2.02.07- Auxilio Creche</v>
      </c>
      <c r="B230" s="10">
        <v>63741.73</v>
      </c>
      <c r="C230" s="10">
        <v>21054.58</v>
      </c>
      <c r="D230" s="10">
        <v>84796.31</v>
      </c>
    </row>
    <row r="231" spans="1:4" x14ac:dyDescent="0.25">
      <c r="A231" s="2" t="str">
        <f>"3.1.3.00.00- MATERIAIS"</f>
        <v>3.1.3.00.00- MATERIAIS</v>
      </c>
      <c r="B231" s="10">
        <v>255169.21</v>
      </c>
      <c r="C231" s="10">
        <v>65727.429999999993</v>
      </c>
      <c r="D231" s="10">
        <v>320896.64000000001</v>
      </c>
    </row>
    <row r="232" spans="1:4" x14ac:dyDescent="0.25">
      <c r="A232" s="2" t="str">
        <f>"3.1.3.00.01- Bens de natureza permanente"</f>
        <v>3.1.3.00.01- Bens de natureza permanente</v>
      </c>
      <c r="B232" s="10">
        <v>2783.38</v>
      </c>
      <c r="C232" s="10">
        <v>2097.1999999999998</v>
      </c>
      <c r="D232" s="10">
        <v>4880.58</v>
      </c>
    </row>
    <row r="233" spans="1:4" x14ac:dyDescent="0.25">
      <c r="A233" s="2" t="str">
        <f>"3.1.3.00.05- Placas/acessorios/mat.fixacao"</f>
        <v>3.1.3.00.05- Placas/acessorios/mat.fixacao</v>
      </c>
      <c r="B233" s="10">
        <v>0</v>
      </c>
      <c r="C233" s="10">
        <v>605</v>
      </c>
      <c r="D233" s="10">
        <v>605</v>
      </c>
    </row>
    <row r="234" spans="1:4" x14ac:dyDescent="0.25">
      <c r="A234" s="2" t="str">
        <f>"3.1.3.00.08- Material seguranca e uniformes"</f>
        <v>3.1.3.00.08- Material seguranca e uniformes</v>
      </c>
      <c r="B234" s="10">
        <v>2019.9</v>
      </c>
      <c r="C234" s="10">
        <v>431.46</v>
      </c>
      <c r="D234" s="10">
        <v>2451.36</v>
      </c>
    </row>
    <row r="235" spans="1:4" x14ac:dyDescent="0.25">
      <c r="A235" s="2" t="str">
        <f>"3.1.3.00.09- Material limp/conserv/copa/cozin"</f>
        <v>3.1.3.00.09- Material limp/conserv/copa/cozin</v>
      </c>
      <c r="B235" s="10">
        <v>34128.46</v>
      </c>
      <c r="C235" s="10">
        <v>8785.56</v>
      </c>
      <c r="D235" s="10">
        <v>42914.02</v>
      </c>
    </row>
    <row r="236" spans="1:4" x14ac:dyDescent="0.25">
      <c r="A236" s="2" t="str">
        <f>"3.1.3.00.10- Impressos e material de escritorio"</f>
        <v>3.1.3.00.10- Impressos e material de escritorio</v>
      </c>
      <c r="B236" s="10">
        <v>37752.57</v>
      </c>
      <c r="C236" s="10">
        <v>6824.36</v>
      </c>
      <c r="D236" s="10">
        <v>44576.93</v>
      </c>
    </row>
    <row r="237" spans="1:4" x14ac:dyDescent="0.25">
      <c r="A237" s="2" t="str">
        <f>"3.1.3.00.11- Materiais manut. inst. prediais"</f>
        <v>3.1.3.00.11- Materiais manut. inst. prediais</v>
      </c>
      <c r="B237" s="10">
        <v>73283.95</v>
      </c>
      <c r="C237" s="10">
        <v>9237.93</v>
      </c>
      <c r="D237" s="10">
        <v>82521.88</v>
      </c>
    </row>
    <row r="238" spans="1:4" x14ac:dyDescent="0.25">
      <c r="A238" s="2" t="str">
        <f>"3.1.3.00.12- Carnes estacionamento rotativo"</f>
        <v>3.1.3.00.12- Carnes estacionamento rotativo</v>
      </c>
      <c r="B238" s="10">
        <v>92907.41</v>
      </c>
      <c r="C238" s="10">
        <v>33493.21</v>
      </c>
      <c r="D238" s="10">
        <v>126400.62</v>
      </c>
    </row>
    <row r="239" spans="1:4" x14ac:dyDescent="0.25">
      <c r="A239" s="2" t="str">
        <f>"3.1.3.00.15- Materiais e supriment informatic"</f>
        <v>3.1.3.00.15- Materiais e supriment informatic</v>
      </c>
      <c r="B239" s="10">
        <v>12293.54</v>
      </c>
      <c r="C239" s="10">
        <v>3287.71</v>
      </c>
      <c r="D239" s="10">
        <v>15581.25</v>
      </c>
    </row>
    <row r="240" spans="1:4" x14ac:dyDescent="0.25">
      <c r="A240" s="2" t="str">
        <f>"3.1.3.00.99- Outros materiais"</f>
        <v>3.1.3.00.99- Outros materiais</v>
      </c>
      <c r="B240" s="10">
        <v>0</v>
      </c>
      <c r="C240" s="10">
        <v>965</v>
      </c>
      <c r="D240" s="10">
        <v>965</v>
      </c>
    </row>
    <row r="241" spans="1:4" x14ac:dyDescent="0.25">
      <c r="A241" s="2" t="str">
        <f>"3.1.4.00.00- SERVICOS PRESTADOS POR TERCEIROS"</f>
        <v>3.1.4.00.00- SERVICOS PRESTADOS POR TERCEIROS</v>
      </c>
      <c r="B241" s="10">
        <v>5047725.95</v>
      </c>
      <c r="C241" s="10">
        <v>1645676.03</v>
      </c>
      <c r="D241" s="10">
        <v>6693401.9800000004</v>
      </c>
    </row>
    <row r="242" spans="1:4" x14ac:dyDescent="0.25">
      <c r="A242" s="2" t="str">
        <f>"3.1.4.00.03- Locacao de equipamentos"</f>
        <v>3.1.4.00.03- Locacao de equipamentos</v>
      </c>
      <c r="B242" s="10">
        <v>12650.4</v>
      </c>
      <c r="C242" s="10">
        <v>0</v>
      </c>
      <c r="D242" s="10">
        <v>12650.4</v>
      </c>
    </row>
    <row r="243" spans="1:4" x14ac:dyDescent="0.25">
      <c r="A243" s="2" t="str">
        <f>"3.1.4.00.08- Servicos de auditoria"</f>
        <v>3.1.4.00.08- Servicos de auditoria</v>
      </c>
      <c r="B243" s="10">
        <v>0</v>
      </c>
      <c r="C243" s="10">
        <v>17449.98</v>
      </c>
      <c r="D243" s="10">
        <v>17449.98</v>
      </c>
    </row>
    <row r="244" spans="1:4" x14ac:dyDescent="0.25">
      <c r="A244" s="2" t="str">
        <f>"3.1.4.00.10- Mao de obra contratada"</f>
        <v>3.1.4.00.10- Mao de obra contratada</v>
      </c>
      <c r="B244" s="10">
        <v>197948.47</v>
      </c>
      <c r="C244" s="10">
        <v>65159.27</v>
      </c>
      <c r="D244" s="10">
        <v>263107.74</v>
      </c>
    </row>
    <row r="245" spans="1:4" x14ac:dyDescent="0.25">
      <c r="A245" s="2" t="str">
        <f>"3.1.4.00.13- Publicidade e divulgacao"</f>
        <v>3.1.4.00.13- Publicidade e divulgacao</v>
      </c>
      <c r="B245" s="10">
        <v>33203.760000000002</v>
      </c>
      <c r="C245" s="10">
        <v>24284.42</v>
      </c>
      <c r="D245" s="10">
        <v>57488.18</v>
      </c>
    </row>
    <row r="246" spans="1:4" x14ac:dyDescent="0.25">
      <c r="A246" s="2" t="str">
        <f>"3.1.4.00.14- Informatica-serv. e/ou locacao"</f>
        <v>3.1.4.00.14- Informatica-serv. e/ou locacao</v>
      </c>
      <c r="B246" s="10">
        <v>357137.77</v>
      </c>
      <c r="C246" s="10">
        <v>103568.61</v>
      </c>
      <c r="D246" s="10">
        <v>460706.38</v>
      </c>
    </row>
    <row r="247" spans="1:4" x14ac:dyDescent="0.25">
      <c r="A247" s="2" t="str">
        <f>"3.1.4.00.15- Outros serv. prestados - PF"</f>
        <v>3.1.4.00.15- Outros serv. prestados - PF</v>
      </c>
      <c r="B247" s="10">
        <v>18426</v>
      </c>
      <c r="C247" s="10">
        <v>12596.48</v>
      </c>
      <c r="D247" s="10">
        <v>31022.48</v>
      </c>
    </row>
    <row r="248" spans="1:4" x14ac:dyDescent="0.25">
      <c r="A248" s="2" t="str">
        <f>"3.1.4.00.16- Outros serv. Prestados - PJ"</f>
        <v>3.1.4.00.16- Outros serv. Prestados - PJ</v>
      </c>
      <c r="B248" s="10">
        <v>58459.22</v>
      </c>
      <c r="C248" s="10">
        <v>32529.200000000001</v>
      </c>
      <c r="D248" s="10">
        <v>90988.42</v>
      </c>
    </row>
    <row r="249" spans="1:4" x14ac:dyDescent="0.25">
      <c r="A249" s="2" t="str">
        <f>"3.1.4.00.17- Servicos postais"</f>
        <v>3.1.4.00.17- Servicos postais</v>
      </c>
      <c r="B249" s="10">
        <v>11281.32</v>
      </c>
      <c r="C249" s="10">
        <v>9861.6200000000008</v>
      </c>
      <c r="D249" s="10">
        <v>21142.94</v>
      </c>
    </row>
    <row r="250" spans="1:4" x14ac:dyDescent="0.25">
      <c r="A250" s="2" t="str">
        <f>"3.1.4.00.18- INSS s/servicos de terceiros"</f>
        <v>3.1.4.00.18- INSS s/servicos de terceiros</v>
      </c>
      <c r="B250" s="10">
        <v>7072.54</v>
      </c>
      <c r="C250" s="10">
        <v>2875.51</v>
      </c>
      <c r="D250" s="10">
        <v>9948.0499999999993</v>
      </c>
    </row>
    <row r="251" spans="1:4" x14ac:dyDescent="0.25">
      <c r="A251" s="2" t="str">
        <f>"3.1.4.00.19- Manut. imoveis/instal/equip.oper"</f>
        <v>3.1.4.00.19- Manut. imoveis/instal/equip.oper</v>
      </c>
      <c r="B251" s="10">
        <v>173912.56</v>
      </c>
      <c r="C251" s="10">
        <v>30705.84</v>
      </c>
      <c r="D251" s="10">
        <v>204618.4</v>
      </c>
    </row>
    <row r="252" spans="1:4" x14ac:dyDescent="0.25">
      <c r="A252" s="2" t="str">
        <f>"3.1.4.00.22- Consultoria tec.Operacional"</f>
        <v>3.1.4.00.22- Consultoria tec.Operacional</v>
      </c>
      <c r="B252" s="10">
        <v>2800</v>
      </c>
      <c r="C252" s="10">
        <v>0</v>
      </c>
      <c r="D252" s="10">
        <v>2800</v>
      </c>
    </row>
    <row r="253" spans="1:4" x14ac:dyDescent="0.25">
      <c r="A253" s="2" t="str">
        <f>"3.1.4.00.24- Loc.serv.mensageiro"</f>
        <v>3.1.4.00.24- Loc.serv.mensageiro</v>
      </c>
      <c r="B253" s="10">
        <v>9310</v>
      </c>
      <c r="C253" s="10">
        <v>3600</v>
      </c>
      <c r="D253" s="10">
        <v>12910</v>
      </c>
    </row>
    <row r="254" spans="1:4" x14ac:dyDescent="0.25">
      <c r="A254" s="2" t="str">
        <f>"3.1.4.00.26- Serv.limp.conserv."</f>
        <v>3.1.4.00.26- Serv.limp.conserv.</v>
      </c>
      <c r="B254" s="10">
        <v>3814597.34</v>
      </c>
      <c r="C254" s="10">
        <v>1172080.92</v>
      </c>
      <c r="D254" s="10">
        <v>4986678.26</v>
      </c>
    </row>
    <row r="255" spans="1:4" x14ac:dyDescent="0.25">
      <c r="A255" s="2" t="str">
        <f>"3.1.4.00.34- Comissao s/venda rotativo"</f>
        <v>3.1.4.00.34- Comissao s/venda rotativo</v>
      </c>
      <c r="B255" s="10">
        <v>204131.68</v>
      </c>
      <c r="C255" s="10">
        <v>73253.710000000006</v>
      </c>
      <c r="D255" s="10">
        <v>277385.39</v>
      </c>
    </row>
    <row r="256" spans="1:4" x14ac:dyDescent="0.25">
      <c r="A256" s="2" t="str">
        <f>"3.1.4.00.36- (-) Desconto ISSQN conf Lei 9145 serv. P"</f>
        <v>3.1.4.00.36- (-) Desconto ISSQN conf Lei 9145 serv. P</v>
      </c>
      <c r="B256" s="10">
        <v>-43973.56</v>
      </c>
      <c r="C256" s="10">
        <v>-17404.7</v>
      </c>
      <c r="D256" s="10">
        <v>-61378.26</v>
      </c>
    </row>
    <row r="257" spans="1:4" x14ac:dyDescent="0.25">
      <c r="A257" s="2" t="str">
        <f>"3.1.4.00.39- Convênio Guarda Municipal"</f>
        <v>3.1.4.00.39- Convênio Guarda Municipal</v>
      </c>
      <c r="B257" s="10">
        <v>190768.45</v>
      </c>
      <c r="C257" s="10">
        <v>115115.17</v>
      </c>
      <c r="D257" s="10">
        <v>305883.62</v>
      </c>
    </row>
    <row r="258" spans="1:4" x14ac:dyDescent="0.25">
      <c r="A258" s="2" t="str">
        <f>"3.1.5.00.00- TARIFAS PUBLICAS"</f>
        <v>3.1.5.00.00- TARIFAS PUBLICAS</v>
      </c>
      <c r="B258" s="10">
        <v>332410.88</v>
      </c>
      <c r="C258" s="10">
        <v>107521.94</v>
      </c>
      <c r="D258" s="10">
        <v>439932.82</v>
      </c>
    </row>
    <row r="259" spans="1:4" x14ac:dyDescent="0.25">
      <c r="A259" s="2" t="str">
        <f>"3.1.5.00.02- Energia eletrica"</f>
        <v>3.1.5.00.02- Energia eletrica</v>
      </c>
      <c r="B259" s="10">
        <v>247472.84</v>
      </c>
      <c r="C259" s="10">
        <v>79488.490000000005</v>
      </c>
      <c r="D259" s="10">
        <v>326961.33</v>
      </c>
    </row>
    <row r="260" spans="1:4" x14ac:dyDescent="0.25">
      <c r="A260" s="2" t="str">
        <f>"3.1.5.00.03- Telefone"</f>
        <v>3.1.5.00.03- Telefone</v>
      </c>
      <c r="B260" s="10">
        <v>84938.04</v>
      </c>
      <c r="C260" s="10">
        <v>28033.45</v>
      </c>
      <c r="D260" s="10">
        <v>112971.49</v>
      </c>
    </row>
    <row r="261" spans="1:4" x14ac:dyDescent="0.25">
      <c r="A261" s="2" t="str">
        <f>"3.1.6.00.00- DESPESAS TRIBUTARIAS"</f>
        <v>3.1.6.00.00- DESPESAS TRIBUTARIAS</v>
      </c>
      <c r="B261" s="10">
        <v>692373.61</v>
      </c>
      <c r="C261" s="10">
        <v>240794.46</v>
      </c>
      <c r="D261" s="10">
        <v>933168.07</v>
      </c>
    </row>
    <row r="262" spans="1:4" x14ac:dyDescent="0.25">
      <c r="A262" s="2" t="str">
        <f>"3.1.6.00.01- Taxas legais"</f>
        <v>3.1.6.00.01- Taxas legais</v>
      </c>
      <c r="B262" s="10">
        <v>0</v>
      </c>
      <c r="C262" s="10">
        <v>17247.21</v>
      </c>
      <c r="D262" s="10">
        <v>17247.21</v>
      </c>
    </row>
    <row r="263" spans="1:4" x14ac:dyDescent="0.25">
      <c r="A263" s="2" t="str">
        <f>"3.1.6.00.03- IOF"</f>
        <v>3.1.6.00.03- IOF</v>
      </c>
      <c r="B263" s="10">
        <v>1178</v>
      </c>
      <c r="C263" s="10">
        <v>0</v>
      </c>
      <c r="D263" s="10">
        <v>1178</v>
      </c>
    </row>
    <row r="264" spans="1:4" x14ac:dyDescent="0.25">
      <c r="A264" s="2" t="str">
        <f>"3.1.6.00.06- PIS"</f>
        <v>3.1.6.00.06- PIS</v>
      </c>
      <c r="B264" s="10">
        <v>116942.29</v>
      </c>
      <c r="C264" s="10">
        <v>38648.959999999999</v>
      </c>
      <c r="D264" s="10">
        <v>155591.25</v>
      </c>
    </row>
    <row r="265" spans="1:4" x14ac:dyDescent="0.25">
      <c r="A265" s="2" t="str">
        <f>"3.1.6.00.07- COFINS"</f>
        <v>3.1.6.00.07- COFINS</v>
      </c>
      <c r="B265" s="10">
        <v>538643.29</v>
      </c>
      <c r="C265" s="10">
        <v>178019.46</v>
      </c>
      <c r="D265" s="10">
        <v>716662.75</v>
      </c>
    </row>
    <row r="266" spans="1:4" x14ac:dyDescent="0.25">
      <c r="A266" s="2" t="str">
        <f>"3.1.6.00.08- Multas indedutiveis"</f>
        <v>3.1.6.00.08- Multas indedutiveis</v>
      </c>
      <c r="B266" s="10">
        <v>0.84</v>
      </c>
      <c r="C266" s="10">
        <v>0</v>
      </c>
      <c r="D266" s="10">
        <v>0.84</v>
      </c>
    </row>
    <row r="267" spans="1:4" x14ac:dyDescent="0.25">
      <c r="A267" s="2" t="str">
        <f>"3.1.6.00.10- ISS s/faturamento"</f>
        <v>3.1.6.00.10- ISS s/faturamento</v>
      </c>
      <c r="B267" s="10">
        <v>5955.75</v>
      </c>
      <c r="C267" s="10">
        <v>1892.65</v>
      </c>
      <c r="D267" s="10">
        <v>7848.4</v>
      </c>
    </row>
    <row r="268" spans="1:4" x14ac:dyDescent="0.25">
      <c r="A268" s="2" t="str">
        <f>"3.1.6.00.14- Contrib.entid.classe"</f>
        <v>3.1.6.00.14- Contrib.entid.classe</v>
      </c>
      <c r="B268" s="10">
        <v>22280.84</v>
      </c>
      <c r="C268" s="10">
        <v>0</v>
      </c>
      <c r="D268" s="10">
        <v>22280.84</v>
      </c>
    </row>
    <row r="269" spans="1:4" x14ac:dyDescent="0.25">
      <c r="A269" s="2" t="str">
        <f>"3.1.6.00.15- INSS Serv.terceiros"</f>
        <v>3.1.6.00.15- INSS Serv.terceiros</v>
      </c>
      <c r="B269" s="10">
        <v>4455.16</v>
      </c>
      <c r="C269" s="10">
        <v>3119.31</v>
      </c>
      <c r="D269" s="10">
        <v>7574.47</v>
      </c>
    </row>
    <row r="270" spans="1:4" x14ac:dyDescent="0.25">
      <c r="A270" s="2" t="str">
        <f>"3.1.6.00.17- PIS s/ receitas financeiras"</f>
        <v>3.1.6.00.17- PIS s/ receitas financeiras</v>
      </c>
      <c r="B270" s="10">
        <v>407.81</v>
      </c>
      <c r="C270" s="10">
        <v>260.95999999999998</v>
      </c>
      <c r="D270" s="10">
        <v>668.77</v>
      </c>
    </row>
    <row r="271" spans="1:4" x14ac:dyDescent="0.25">
      <c r="A271" s="2" t="str">
        <f>"3.1.6.00.18- Cofins s/ receitas financeiras"</f>
        <v>3.1.6.00.18- Cofins s/ receitas financeiras</v>
      </c>
      <c r="B271" s="10">
        <v>2509.63</v>
      </c>
      <c r="C271" s="10">
        <v>1605.91</v>
      </c>
      <c r="D271" s="10">
        <v>4115.54</v>
      </c>
    </row>
    <row r="272" spans="1:4" x14ac:dyDescent="0.25">
      <c r="A272" s="2" t="str">
        <f>"3.1.7.00.00- DESPESAS FINANCEIRAS"</f>
        <v>3.1.7.00.00- DESPESAS FINANCEIRAS</v>
      </c>
      <c r="B272" s="10">
        <v>3882.93</v>
      </c>
      <c r="C272" s="10">
        <v>399000.44</v>
      </c>
      <c r="D272" s="10">
        <v>402883.37</v>
      </c>
    </row>
    <row r="273" spans="1:4" x14ac:dyDescent="0.25">
      <c r="A273" s="2" t="str">
        <f>"3.1.7.01.01- Juros passivos curto prazo"</f>
        <v>3.1.7.01.01- Juros passivos curto prazo</v>
      </c>
      <c r="B273" s="10">
        <v>0</v>
      </c>
      <c r="C273" s="10">
        <v>397509.86</v>
      </c>
      <c r="D273" s="10">
        <v>397509.86</v>
      </c>
    </row>
    <row r="274" spans="1:4" x14ac:dyDescent="0.25">
      <c r="A274" s="2" t="str">
        <f>"3.1.7.01.02- Despesas bancarias"</f>
        <v>3.1.7.01.02- Despesas bancarias</v>
      </c>
      <c r="B274" s="10">
        <v>3882.93</v>
      </c>
      <c r="C274" s="10">
        <v>1490.58</v>
      </c>
      <c r="D274" s="10">
        <v>5373.51</v>
      </c>
    </row>
    <row r="275" spans="1:4" x14ac:dyDescent="0.25">
      <c r="A275" s="2" t="str">
        <f>"3.1.8.00.00- OUTRAS DESPESAS"</f>
        <v>3.1.8.00.00- OUTRAS DESPESAS</v>
      </c>
      <c r="B275" s="10">
        <v>282918.75</v>
      </c>
      <c r="C275" s="10">
        <v>1443075.57</v>
      </c>
      <c r="D275" s="10">
        <v>1725994.32</v>
      </c>
    </row>
    <row r="276" spans="1:4" x14ac:dyDescent="0.25">
      <c r="A276" s="2" t="str">
        <f>"3.1.8.00.01- Despesas de viagem"</f>
        <v>3.1.8.00.01- Despesas de viagem</v>
      </c>
      <c r="B276" s="10">
        <v>25000.91</v>
      </c>
      <c r="C276" s="10">
        <v>12147.02</v>
      </c>
      <c r="D276" s="10">
        <v>37147.93</v>
      </c>
    </row>
    <row r="277" spans="1:4" x14ac:dyDescent="0.25">
      <c r="A277" s="2" t="str">
        <f>"3.1.8.00.05- Depreciacao/amort"</f>
        <v>3.1.8.00.05- Depreciacao/amort</v>
      </c>
      <c r="B277" s="10">
        <v>65068.9</v>
      </c>
      <c r="C277" s="10">
        <v>20772.41</v>
      </c>
      <c r="D277" s="10">
        <v>85841.31</v>
      </c>
    </row>
    <row r="278" spans="1:4" x14ac:dyDescent="0.25">
      <c r="A278" s="2" t="str">
        <f>"3.1.8.00.06- Seguros bens moveis e imoveis"</f>
        <v>3.1.8.00.06- Seguros bens moveis e imoveis</v>
      </c>
      <c r="B278" s="10">
        <v>2998.19</v>
      </c>
      <c r="C278" s="10">
        <v>690.41</v>
      </c>
      <c r="D278" s="10">
        <v>3688.6</v>
      </c>
    </row>
    <row r="279" spans="1:4" x14ac:dyDescent="0.25">
      <c r="A279" s="2" t="str">
        <f>"3.1.8.00.08- Alugueis e condominio"</f>
        <v>3.1.8.00.08- Alugueis e condominio</v>
      </c>
      <c r="B279" s="10">
        <v>15215.43</v>
      </c>
      <c r="C279" s="10">
        <v>0</v>
      </c>
      <c r="D279" s="10">
        <v>15215.43</v>
      </c>
    </row>
    <row r="280" spans="1:4" x14ac:dyDescent="0.25">
      <c r="A280" s="2" t="str">
        <f>"3.1.8.00.12- Acoes judiciais terceiros"</f>
        <v>3.1.8.00.12- Acoes judiciais terceiros</v>
      </c>
      <c r="B280" s="10">
        <v>66512.289999999994</v>
      </c>
      <c r="C280" s="10">
        <v>250</v>
      </c>
      <c r="D280" s="10">
        <v>66762.289999999994</v>
      </c>
    </row>
    <row r="281" spans="1:4" x14ac:dyDescent="0.25">
      <c r="A281" s="2" t="str">
        <f>"3.1.8.00.17- Gastos com eventos e promocoes"</f>
        <v>3.1.8.00.17- Gastos com eventos e promocoes</v>
      </c>
      <c r="B281" s="10">
        <v>1789.98</v>
      </c>
      <c r="C281" s="10">
        <v>3420</v>
      </c>
      <c r="D281" s="10">
        <v>5209.9799999999996</v>
      </c>
    </row>
    <row r="282" spans="1:4" x14ac:dyDescent="0.25">
      <c r="A282" s="2" t="str">
        <f>"3.1.8.00.18- Provisao para perdas"</f>
        <v>3.1.8.00.18- Provisao para perdas</v>
      </c>
      <c r="B282" s="10">
        <v>91559.32</v>
      </c>
      <c r="C282" s="10">
        <v>132494.22</v>
      </c>
      <c r="D282" s="10">
        <v>224053.54</v>
      </c>
    </row>
    <row r="283" spans="1:4" x14ac:dyDescent="0.25">
      <c r="A283" s="2" t="str">
        <f>"3.1.8.00.22- Perda tributos a recuperar"</f>
        <v>3.1.8.00.22- Perda tributos a recuperar</v>
      </c>
      <c r="B283" s="10">
        <v>0</v>
      </c>
      <c r="C283" s="10">
        <v>1263645.1299999999</v>
      </c>
      <c r="D283" s="10">
        <v>1263645.1299999999</v>
      </c>
    </row>
    <row r="284" spans="1:4" x14ac:dyDescent="0.25">
      <c r="A284" s="2" t="str">
        <f>"3.1.8.00.23- Custas/Despesas Judiciais"</f>
        <v>3.1.8.00.23- Custas/Despesas Judiciais</v>
      </c>
      <c r="B284" s="10">
        <v>14773.73</v>
      </c>
      <c r="C284" s="10">
        <v>5443.83</v>
      </c>
      <c r="D284" s="10">
        <v>20217.560000000001</v>
      </c>
    </row>
    <row r="285" spans="1:4" x14ac:dyDescent="0.25">
      <c r="A285" s="2" t="str">
        <f>"3.1.8.00.99- Despesas diversas"</f>
        <v>3.1.8.00.99- Despesas diversas</v>
      </c>
      <c r="B285" s="10">
        <v>0</v>
      </c>
      <c r="C285" s="10">
        <v>4212.55</v>
      </c>
      <c r="D285" s="10">
        <v>4212.55</v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"RECEITAS"</f>
        <v>RECEITAS</v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"4.0.0.00.00- RECEITAS"</f>
        <v>4.0.0.00.00- RECEITAS</v>
      </c>
      <c r="B297" s="10">
        <v>37179546.640000001</v>
      </c>
      <c r="C297" s="10">
        <v>13686590.18</v>
      </c>
      <c r="D297" s="10">
        <v>50866136.82</v>
      </c>
    </row>
    <row r="298" spans="1:4" x14ac:dyDescent="0.25">
      <c r="A298" s="2" t="str">
        <f>"4.1.0.00.00- RECEITAS BHTRANS"</f>
        <v>4.1.0.00.00- RECEITAS BHTRANS</v>
      </c>
      <c r="B298" s="10">
        <v>36549144.600000001</v>
      </c>
      <c r="C298" s="10">
        <v>13599004.199999999</v>
      </c>
      <c r="D298" s="10">
        <v>50148148.799999997</v>
      </c>
    </row>
    <row r="299" spans="1:4" x14ac:dyDescent="0.25">
      <c r="A299" s="2" t="str">
        <f>"4.1.1.00.00- RECEITAS OPERACIONAIS"</f>
        <v>4.1.1.00.00- RECEITAS OPERACIONAIS</v>
      </c>
      <c r="B299" s="10">
        <v>36406784.460000001</v>
      </c>
      <c r="C299" s="10">
        <v>13559322.26</v>
      </c>
      <c r="D299" s="10">
        <v>49966106.719999999</v>
      </c>
    </row>
    <row r="300" spans="1:4" x14ac:dyDescent="0.25">
      <c r="A300" s="2" t="str">
        <f>"4.1.1.00.05- Midia taxi, escolar e suplementar"</f>
        <v>4.1.1.00.05- Midia taxi, escolar e suplementar</v>
      </c>
      <c r="B300" s="10">
        <v>6400.32</v>
      </c>
      <c r="C300" s="10">
        <v>2513.12</v>
      </c>
      <c r="D300" s="10">
        <v>8913.44</v>
      </c>
    </row>
    <row r="301" spans="1:4" x14ac:dyDescent="0.25">
      <c r="A301" s="2" t="str">
        <f>"4.1.1.00.06- Midia em onibus"</f>
        <v>4.1.1.00.06- Midia em onibus</v>
      </c>
      <c r="B301" s="10">
        <v>163395.82</v>
      </c>
      <c r="C301" s="10">
        <v>52470.83</v>
      </c>
      <c r="D301" s="10">
        <v>215866.65</v>
      </c>
    </row>
    <row r="302" spans="1:4" x14ac:dyDescent="0.25">
      <c r="A302" s="2" t="str">
        <f>"4.1.1.00.07- Midias diversas"</f>
        <v>4.1.1.00.07- Midias diversas</v>
      </c>
      <c r="B302" s="10">
        <v>28623.69</v>
      </c>
      <c r="C302" s="10">
        <v>8104.56</v>
      </c>
      <c r="D302" s="10">
        <v>36728.25</v>
      </c>
    </row>
    <row r="303" spans="1:4" x14ac:dyDescent="0.25">
      <c r="A303" s="2" t="str">
        <f>"4.1.1.00.08- Estacionamento Rotativo"</f>
        <v>4.1.1.00.08- Estacionamento Rotativo</v>
      </c>
      <c r="B303" s="10">
        <v>5088789.2</v>
      </c>
      <c r="C303" s="10">
        <v>1831601.2</v>
      </c>
      <c r="D303" s="10">
        <v>6920390.4000000004</v>
      </c>
    </row>
    <row r="304" spans="1:4" x14ac:dyDescent="0.25">
      <c r="A304" s="2" t="str">
        <f>"4.1.1.00.10- Transf. financeira PBH"</f>
        <v>4.1.1.00.10- Transf. financeira PBH</v>
      </c>
      <c r="B304" s="10">
        <v>30029394.09</v>
      </c>
      <c r="C304" s="10">
        <v>11304081.27</v>
      </c>
      <c r="D304" s="10">
        <v>41333475.359999999</v>
      </c>
    </row>
    <row r="305" spans="1:4" x14ac:dyDescent="0.25">
      <c r="A305" s="2" t="str">
        <f>"4.1.1.00.16- Multas transporte coletivo"</f>
        <v>4.1.1.00.16- Multas transporte coletivo</v>
      </c>
      <c r="B305" s="10">
        <v>915593.13</v>
      </c>
      <c r="C305" s="10">
        <v>204674.52</v>
      </c>
      <c r="D305" s="10">
        <v>1120267.6499999999</v>
      </c>
    </row>
    <row r="306" spans="1:4" x14ac:dyDescent="0.25">
      <c r="A306" s="2" t="str">
        <f>"4.1.1.00.17- Multas transporte publico"</f>
        <v>4.1.1.00.17- Multas transporte publico</v>
      </c>
      <c r="B306" s="10">
        <v>127073.22</v>
      </c>
      <c r="C306" s="10">
        <v>78439.95</v>
      </c>
      <c r="D306" s="10">
        <v>205513.17</v>
      </c>
    </row>
    <row r="307" spans="1:4" x14ac:dyDescent="0.25">
      <c r="A307" s="2" t="str">
        <f>"4.1.1.00.19- Subconcessao frotas de taxi"</f>
        <v>4.1.1.00.19- Subconcessao frotas de taxi</v>
      </c>
      <c r="B307" s="10">
        <v>47514.99</v>
      </c>
      <c r="C307" s="10">
        <v>77436.81</v>
      </c>
      <c r="D307" s="10">
        <v>124951.8</v>
      </c>
    </row>
    <row r="308" spans="1:4" x14ac:dyDescent="0.25">
      <c r="A308" s="2" t="str">
        <f>"4.1.8.00.00- RECEITAS ALUGUEIS ESTACOES"</f>
        <v>4.1.8.00.00- RECEITAS ALUGUEIS ESTACOES</v>
      </c>
      <c r="B308" s="10">
        <v>142360.14000000001</v>
      </c>
      <c r="C308" s="10">
        <v>39681.94</v>
      </c>
      <c r="D308" s="10">
        <v>182042.08</v>
      </c>
    </row>
    <row r="309" spans="1:4" x14ac:dyDescent="0.25">
      <c r="A309" s="2" t="str">
        <f>"4.1.8.00.01- Alugueis Estacoes"</f>
        <v>4.1.8.00.01- Alugueis Estacoes</v>
      </c>
      <c r="B309" s="10">
        <v>142360.14000000001</v>
      </c>
      <c r="C309" s="10">
        <v>39681.94</v>
      </c>
      <c r="D309" s="10">
        <v>182042.08</v>
      </c>
    </row>
    <row r="310" spans="1:4" x14ac:dyDescent="0.25">
      <c r="A310" s="2" t="str">
        <f>"4.2.0.00.00- RECEITAS FINANCEIRAS"</f>
        <v>4.2.0.00.00- RECEITAS FINANCEIRAS</v>
      </c>
      <c r="B310" s="10">
        <v>62740.87</v>
      </c>
      <c r="C310" s="10">
        <v>40147.64</v>
      </c>
      <c r="D310" s="10">
        <v>102888.51</v>
      </c>
    </row>
    <row r="311" spans="1:4" x14ac:dyDescent="0.25">
      <c r="A311" s="2" t="str">
        <f>"4.2.1.00.00- RECEITAS FINANCEIRAS"</f>
        <v>4.2.1.00.00- RECEITAS FINANCEIRAS</v>
      </c>
      <c r="B311" s="10">
        <v>62572.41</v>
      </c>
      <c r="C311" s="10">
        <v>40092.19</v>
      </c>
      <c r="D311" s="10">
        <v>102664.6</v>
      </c>
    </row>
    <row r="312" spans="1:4" x14ac:dyDescent="0.25">
      <c r="A312" s="2" t="str">
        <f>"4.2.1.00.01- Rendimentos aplic. Financeira"</f>
        <v>4.2.1.00.01- Rendimentos aplic. Financeira</v>
      </c>
      <c r="B312" s="10">
        <v>62186.79</v>
      </c>
      <c r="C312" s="10">
        <v>34994.26</v>
      </c>
      <c r="D312" s="10">
        <v>97181.05</v>
      </c>
    </row>
    <row r="313" spans="1:4" x14ac:dyDescent="0.25">
      <c r="A313" s="2" t="str">
        <f>"4.2.1.00.02- Juros ativos"</f>
        <v>4.2.1.00.02- Juros ativos</v>
      </c>
      <c r="B313" s="10">
        <v>385.62</v>
      </c>
      <c r="C313" s="10">
        <v>502.44</v>
      </c>
      <c r="D313" s="10">
        <v>888.06</v>
      </c>
    </row>
    <row r="314" spans="1:4" x14ac:dyDescent="0.25">
      <c r="A314" s="2" t="str">
        <f>"4.2.1.00.05- Receitas Financeiras - Convênio"</f>
        <v>4.2.1.00.05- Receitas Financeiras - Convênio</v>
      </c>
      <c r="B314" s="10">
        <v>0</v>
      </c>
      <c r="C314" s="10">
        <v>4595.49</v>
      </c>
      <c r="D314" s="10">
        <v>4595.49</v>
      </c>
    </row>
    <row r="315" spans="1:4" x14ac:dyDescent="0.25">
      <c r="A315" s="2" t="str">
        <f>"4.2.2.00.00- VARIACOES MONETARIAS ATIVAS"</f>
        <v>4.2.2.00.00- VARIACOES MONETARIAS ATIVAS</v>
      </c>
      <c r="B315" s="10">
        <v>168.46</v>
      </c>
      <c r="C315" s="10">
        <v>55.45</v>
      </c>
      <c r="D315" s="10">
        <v>223.91</v>
      </c>
    </row>
    <row r="316" spans="1:4" x14ac:dyDescent="0.25">
      <c r="A316" s="2" t="str">
        <f>"4.2.2.00.01- Variações monetárias ativas"</f>
        <v>4.2.2.00.01- Variações monetárias ativas</v>
      </c>
      <c r="B316" s="10">
        <v>168.46</v>
      </c>
      <c r="C316" s="10">
        <v>55.45</v>
      </c>
      <c r="D316" s="10">
        <v>223.91</v>
      </c>
    </row>
    <row r="317" spans="1:4" x14ac:dyDescent="0.25">
      <c r="A317" s="2" t="str">
        <f>"4.3.0.00.00- OUTRAS RECEITAS"</f>
        <v>4.3.0.00.00- OUTRAS RECEITAS</v>
      </c>
      <c r="B317" s="10">
        <v>567661.17000000004</v>
      </c>
      <c r="C317" s="10">
        <v>47438.34</v>
      </c>
      <c r="D317" s="10">
        <v>615099.51</v>
      </c>
    </row>
    <row r="318" spans="1:4" x14ac:dyDescent="0.25">
      <c r="A318" s="2" t="str">
        <f>"4.3.1.00.00- OUTRAS RECEITAS"</f>
        <v>4.3.1.00.00- OUTRAS RECEITAS</v>
      </c>
      <c r="B318" s="10">
        <v>567661.17000000004</v>
      </c>
      <c r="C318" s="10">
        <v>47438.34</v>
      </c>
      <c r="D318" s="10">
        <v>615099.51</v>
      </c>
    </row>
    <row r="319" spans="1:4" x14ac:dyDescent="0.25">
      <c r="A319" s="2" t="str">
        <f>"4.3.1.00.04- Receitas Diversas"</f>
        <v>4.3.1.00.04- Receitas Diversas</v>
      </c>
      <c r="B319" s="10">
        <v>444358.33</v>
      </c>
      <c r="C319" s="10">
        <v>29435.82</v>
      </c>
      <c r="D319" s="10">
        <v>473794.15</v>
      </c>
    </row>
    <row r="320" spans="1:4" x14ac:dyDescent="0.25">
      <c r="A320" s="2" t="str">
        <f>"4.3.1.00.07- Concessão de Abrigo de ônibus"</f>
        <v>4.3.1.00.07- Concessão de Abrigo de ônibus</v>
      </c>
      <c r="B320" s="10">
        <v>123302.84</v>
      </c>
      <c r="C320" s="10">
        <v>18002.52</v>
      </c>
      <c r="D320" s="10">
        <v>141305.35999999999</v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ht="15.75" thickBot="1" x14ac:dyDescent="0.3">
      <c r="A345" s="4" t="str">
        <f>"APURACAO DE RESULTADOS"</f>
        <v>APURACAO DE RESULTADOS</v>
      </c>
      <c r="B345" s="5" t="str">
        <f>""</f>
        <v/>
      </c>
      <c r="C345" s="5" t="str">
        <f>""</f>
        <v/>
      </c>
      <c r="D345" s="5" t="str">
        <f>""</f>
        <v/>
      </c>
    </row>
    <row r="346" spans="1:4" x14ac:dyDescent="0.25">
      <c r="A346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workbookViewId="0">
      <selection activeCell="E4" sqref="E4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9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40529427.649999999</v>
      </c>
      <c r="C4" s="10">
        <v>2068002.33</v>
      </c>
      <c r="D4" s="10">
        <v>42597429.979999997</v>
      </c>
    </row>
    <row r="5" spans="1:4" x14ac:dyDescent="0.25">
      <c r="A5" s="2" t="str">
        <f>"1.1.0.00.00- ATIVO CIRCULANTE"</f>
        <v>1.1.0.00.00- ATIVO CIRCULANTE</v>
      </c>
      <c r="B5" s="10">
        <v>19366231.77</v>
      </c>
      <c r="C5" s="10">
        <v>1908906.05</v>
      </c>
      <c r="D5" s="10">
        <v>21275137.82</v>
      </c>
    </row>
    <row r="6" spans="1:4" x14ac:dyDescent="0.25">
      <c r="A6" s="2" t="str">
        <f>"1.1.1.00.00- DISPONIVEL"</f>
        <v>1.1.1.00.00- DISPONIVEL</v>
      </c>
      <c r="B6" s="10">
        <v>10443608.75</v>
      </c>
      <c r="C6" s="10">
        <v>1405540.36</v>
      </c>
      <c r="D6" s="10">
        <v>11849149.109999999</v>
      </c>
    </row>
    <row r="7" spans="1:4" x14ac:dyDescent="0.25">
      <c r="A7" s="2" t="str">
        <f>"1.1.1.01.00- CAIXA GERAL"</f>
        <v>1.1.1.01.00- CAIXA GERAL</v>
      </c>
      <c r="B7" s="10">
        <v>1600</v>
      </c>
      <c r="C7" s="10">
        <v>600</v>
      </c>
      <c r="D7" s="10">
        <v>2200</v>
      </c>
    </row>
    <row r="8" spans="1:4" x14ac:dyDescent="0.25">
      <c r="A8" s="2" t="str">
        <f>"1.1.1.01.04- Caixa - Georf"</f>
        <v>1.1.1.01.04- Caixa - Georf</v>
      </c>
      <c r="B8" s="10">
        <v>520</v>
      </c>
      <c r="C8" s="10">
        <v>0</v>
      </c>
      <c r="D8" s="10">
        <v>520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600</v>
      </c>
      <c r="C10" s="10">
        <v>600</v>
      </c>
      <c r="D10" s="10">
        <v>1200</v>
      </c>
    </row>
    <row r="11" spans="1:4" x14ac:dyDescent="0.25">
      <c r="A11" s="2" t="str">
        <f>"1.1.1.02.00- BANCOS C/MOVIMENTO"</f>
        <v>1.1.1.02.00- BANCOS C/MOVIMENTO</v>
      </c>
      <c r="B11" s="10">
        <v>371495.42</v>
      </c>
      <c r="C11" s="10">
        <v>-88686.64</v>
      </c>
      <c r="D11" s="10">
        <v>282808.78000000003</v>
      </c>
    </row>
    <row r="12" spans="1:4" x14ac:dyDescent="0.25">
      <c r="A12" s="2" t="str">
        <f>"1.1.1.02.11- Banco do Brasil S/A - 720.000-5"</f>
        <v>1.1.1.02.11- Banco do Brasil S/A - 720.000-5</v>
      </c>
      <c r="B12" s="10">
        <v>10.8</v>
      </c>
      <c r="C12" s="10">
        <v>-10.8</v>
      </c>
      <c r="D12" s="10">
        <v>0</v>
      </c>
    </row>
    <row r="13" spans="1:4" x14ac:dyDescent="0.25">
      <c r="A13" s="2" t="str">
        <f>"1.1.1.02.12- Banco do Brasil S/A - 720.001-3"</f>
        <v>1.1.1.02.12- Banco do Brasil S/A - 720.001-3</v>
      </c>
      <c r="B13" s="10">
        <v>1061.2</v>
      </c>
      <c r="C13" s="10">
        <v>-1061.2</v>
      </c>
      <c r="D13" s="10">
        <v>0</v>
      </c>
    </row>
    <row r="14" spans="1:4" x14ac:dyDescent="0.25">
      <c r="A14" s="2" t="str">
        <f>"1.1.1.02.29- Caixa Econômica Federal - 3289-3 Arrecad"</f>
        <v>1.1.1.02.29- Caixa Econômica Federal - 3289-3 Arrecad</v>
      </c>
      <c r="B14" s="10">
        <v>34986.68</v>
      </c>
      <c r="C14" s="10">
        <v>6931.41</v>
      </c>
      <c r="D14" s="10">
        <v>41918.089999999997</v>
      </c>
    </row>
    <row r="15" spans="1:4" x14ac:dyDescent="0.25">
      <c r="A15" s="2" t="str">
        <f>"1.1.1.02.30- Caixa Econômica Federal - 3291-5 Movimen"</f>
        <v>1.1.1.02.30- Caixa Econômica Federal - 3291-5 Movimen</v>
      </c>
      <c r="B15" s="10">
        <v>-35.92</v>
      </c>
      <c r="C15" s="10">
        <v>-38.22</v>
      </c>
      <c r="D15" s="10">
        <v>-74.14</v>
      </c>
    </row>
    <row r="16" spans="1:4" x14ac:dyDescent="0.25">
      <c r="A16" s="2" t="str">
        <f>"1.1.1.02.32- Caixa Econômica Federal - 3292-3 Leilão"</f>
        <v>1.1.1.02.32- Caixa Econômica Federal - 3292-3 Leilão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"1.1.1.02.37- Caixa Econômica Federal - 3299-0Leilão16"</f>
        <v>1.1.1.02.37- Caixa Econômica Federal - 3299-0Leilão16</v>
      </c>
      <c r="B17" s="10">
        <v>80</v>
      </c>
      <c r="C17" s="10">
        <v>0</v>
      </c>
      <c r="D17" s="10">
        <v>80</v>
      </c>
    </row>
    <row r="18" spans="1:4" x14ac:dyDescent="0.25">
      <c r="A18" s="2" t="str">
        <f>"1.1.1.02.39- Caixa Econômica Federal - 3301-6 Mídia"</f>
        <v>1.1.1.02.39- Caixa Econômica Federal - 3301-6 Mídia</v>
      </c>
      <c r="B18" s="10">
        <v>1132.26</v>
      </c>
      <c r="C18" s="10">
        <v>0</v>
      </c>
      <c r="D18" s="10">
        <v>1132.26</v>
      </c>
    </row>
    <row r="19" spans="1:4" x14ac:dyDescent="0.25">
      <c r="A19" s="2" t="str">
        <f>"1.1.1.02.40- Caixa Econômica Federal - 3302-4 Mídia"</f>
        <v>1.1.1.02.40- Caixa Econômica Federal - 3302-4 Mídia</v>
      </c>
      <c r="B19" s="10">
        <v>56352.13</v>
      </c>
      <c r="C19" s="10">
        <v>-3202.72</v>
      </c>
      <c r="D19" s="10">
        <v>53149.41</v>
      </c>
    </row>
    <row r="20" spans="1:4" x14ac:dyDescent="0.25">
      <c r="A20" s="2" t="str">
        <f>"1.1.1.02.41- Caixa Econômica Federal - 3303-2Rotativo"</f>
        <v>1.1.1.02.41- Caixa Econômica Federal - 3303-2Rotativo</v>
      </c>
      <c r="B20" s="10">
        <v>265368.18</v>
      </c>
      <c r="C20" s="10">
        <v>-90801.62</v>
      </c>
      <c r="D20" s="10">
        <v>174566.56</v>
      </c>
    </row>
    <row r="21" spans="1:4" x14ac:dyDescent="0.25">
      <c r="A21" s="2" t="str">
        <f>"1.1.1.02.42- Caixa Econômica Federal - 3304-0Caução"</f>
        <v>1.1.1.02.42- Caixa Econômica Federal - 3304-0Caução</v>
      </c>
      <c r="B21" s="10">
        <v>474.6</v>
      </c>
      <c r="C21" s="10">
        <v>198</v>
      </c>
      <c r="D21" s="10">
        <v>672.6</v>
      </c>
    </row>
    <row r="22" spans="1:4" x14ac:dyDescent="0.25">
      <c r="A22" s="2" t="str">
        <f>"1.1.1.02.43- Caixa Econômica Federal - 3305-9Sucumb."</f>
        <v>1.1.1.02.43- Caixa Econômica Federal - 3305-9Sucumb.</v>
      </c>
      <c r="B22" s="10">
        <v>4595.49</v>
      </c>
      <c r="C22" s="10">
        <v>-4595.49</v>
      </c>
      <c r="D22" s="10">
        <v>0</v>
      </c>
    </row>
    <row r="23" spans="1:4" x14ac:dyDescent="0.25">
      <c r="A23" s="2" t="str">
        <f>"1.1.1.02.46- Caixa Econômica Federal - 3309-1 Rot int"</f>
        <v>1.1.1.02.46- Caixa Econômica Federal - 3309-1 Rot int</v>
      </c>
      <c r="B23" s="10">
        <v>7348</v>
      </c>
      <c r="C23" s="10">
        <v>3894</v>
      </c>
      <c r="D23" s="10">
        <v>11242</v>
      </c>
    </row>
    <row r="24" spans="1:4" x14ac:dyDescent="0.25">
      <c r="A24" s="2" t="str">
        <f>"1.1.1.02.51- Caixa Econômica Federal -3501-9Leillão17"</f>
        <v>1.1.1.02.51- Caixa Econômica Federal -3501-9Leillão17</v>
      </c>
      <c r="B24" s="10">
        <v>42</v>
      </c>
      <c r="C24" s="10">
        <v>0</v>
      </c>
      <c r="D24" s="10">
        <v>42</v>
      </c>
    </row>
    <row r="25" spans="1:4" x14ac:dyDescent="0.25">
      <c r="A25" s="2" t="str">
        <f>"1.1.1.03.00- APLICACOES FINANCEIRAS"</f>
        <v>1.1.1.03.00- APLICACOES FINANCEIRAS</v>
      </c>
      <c r="B25" s="10">
        <v>7772045.1600000001</v>
      </c>
      <c r="C25" s="10">
        <v>1614622.65</v>
      </c>
      <c r="D25" s="10">
        <v>9386667.8100000005</v>
      </c>
    </row>
    <row r="26" spans="1:4" x14ac:dyDescent="0.25">
      <c r="A26" s="2" t="str">
        <f>"1.1.1.03.23- Caixa Econômica Federal - 3291-5"</f>
        <v>1.1.1.03.23- Caixa Econômica Federal - 3291-5</v>
      </c>
      <c r="B26" s="10">
        <v>6316515.1500000004</v>
      </c>
      <c r="C26" s="10">
        <v>1609210.49</v>
      </c>
      <c r="D26" s="10">
        <v>7925725.6399999997</v>
      </c>
    </row>
    <row r="27" spans="1:4" x14ac:dyDescent="0.25">
      <c r="A27" s="2" t="str">
        <f>"1.1.1.03.25- Caixa Econômica Federal - 3292-3 Leilão"</f>
        <v>1.1.1.03.25- Caixa Econômica Federal - 3292-3 Leilão</v>
      </c>
      <c r="B27" s="10">
        <v>73662.8</v>
      </c>
      <c r="C27" s="10">
        <v>28.27</v>
      </c>
      <c r="D27" s="10">
        <v>73691.070000000007</v>
      </c>
    </row>
    <row r="28" spans="1:4" x14ac:dyDescent="0.25">
      <c r="A28" s="2" t="str">
        <f>"1.1.1.03.26- Caixa Econômica Federal - 3295-8Leilão13"</f>
        <v>1.1.1.03.26- Caixa Econômica Federal - 3295-8Leilão13</v>
      </c>
      <c r="B28" s="10">
        <v>201738.1</v>
      </c>
      <c r="C28" s="10">
        <v>77.41</v>
      </c>
      <c r="D28" s="10">
        <v>201815.51</v>
      </c>
    </row>
    <row r="29" spans="1:4" x14ac:dyDescent="0.25">
      <c r="A29" s="2" t="str">
        <f>"1.1.1.03.29- Caixa Econômica Federal - 3298-2Leilão15"</f>
        <v>1.1.1.03.29- Caixa Econômica Federal - 3298-2Leilão15</v>
      </c>
      <c r="B29" s="10">
        <v>100633.32</v>
      </c>
      <c r="C29" s="10">
        <v>27.92</v>
      </c>
      <c r="D29" s="10">
        <v>100661.24</v>
      </c>
    </row>
    <row r="30" spans="1:4" x14ac:dyDescent="0.25">
      <c r="A30" s="2" t="str">
        <f>"1.1.1.03.30- Caixa Econômica Federal - 3299-0Leilão16"</f>
        <v>1.1.1.03.30- Caixa Econômica Federal - 3299-0Leilão16</v>
      </c>
      <c r="B30" s="10">
        <v>126892.77</v>
      </c>
      <c r="C30" s="10">
        <v>48.7</v>
      </c>
      <c r="D30" s="10">
        <v>126941.47</v>
      </c>
    </row>
    <row r="31" spans="1:4" x14ac:dyDescent="0.25">
      <c r="A31" s="2" t="str">
        <f>"1.1.1.03.31- Caixa Econômica Federal - 3300-8Leilão16"</f>
        <v>1.1.1.03.31- Caixa Econômica Federal - 3300-8Leilão16</v>
      </c>
      <c r="B31" s="10">
        <v>45467.58</v>
      </c>
      <c r="C31" s="10">
        <v>12.62</v>
      </c>
      <c r="D31" s="10">
        <v>45480.2</v>
      </c>
    </row>
    <row r="32" spans="1:4" x14ac:dyDescent="0.25">
      <c r="A32" s="2" t="str">
        <f>"1.1.1.03.32- Caixa Econômica - 3301-6 Mídia"</f>
        <v>1.1.1.03.32- Caixa Econômica - 3301-6 Mídia</v>
      </c>
      <c r="B32" s="10">
        <v>81635.42</v>
      </c>
      <c r="C32" s="10">
        <v>7.7</v>
      </c>
      <c r="D32" s="10">
        <v>81643.12</v>
      </c>
    </row>
    <row r="33" spans="1:4" x14ac:dyDescent="0.25">
      <c r="A33" s="2" t="str">
        <f>"1.1.1.03.35- Caixa Econômica - 3304-0Caução"</f>
        <v>1.1.1.03.35- Caixa Econômica - 3304-0Caução</v>
      </c>
      <c r="B33" s="10">
        <v>432632.35</v>
      </c>
      <c r="C33" s="10">
        <v>123.96</v>
      </c>
      <c r="D33" s="10">
        <v>432756.31</v>
      </c>
    </row>
    <row r="34" spans="1:4" x14ac:dyDescent="0.25">
      <c r="A34" s="2" t="str">
        <f>"1.1.1.03.36- Caixa Econômica - 3305-9Sucumb."</f>
        <v>1.1.1.03.36- Caixa Econômica - 3305-9Sucumb.</v>
      </c>
      <c r="B34" s="10">
        <v>4819.4399999999996</v>
      </c>
      <c r="C34" s="10">
        <v>4609.59</v>
      </c>
      <c r="D34" s="10">
        <v>9429.0300000000007</v>
      </c>
    </row>
    <row r="35" spans="1:4" x14ac:dyDescent="0.25">
      <c r="A35" s="2" t="str">
        <f>"1.1.1.03.38- Caixa Econômica - 3308-3Leilão"</f>
        <v>1.1.1.03.38- Caixa Econômica - 3308-3Leilão</v>
      </c>
      <c r="B35" s="10">
        <v>2172.9899999999998</v>
      </c>
      <c r="C35" s="10">
        <v>0.57999999999999996</v>
      </c>
      <c r="D35" s="10">
        <v>2173.5700000000002</v>
      </c>
    </row>
    <row r="36" spans="1:4" x14ac:dyDescent="0.25">
      <c r="A36" s="2" t="str">
        <f>"1.1.1.03.41- Caixa Econômica - 531-0 Aci moto poupanç"</f>
        <v>1.1.1.03.41- Caixa Econômica - 531-0 Aci moto poupanç</v>
      </c>
      <c r="B36" s="10">
        <v>596.61</v>
      </c>
      <c r="C36" s="10">
        <v>1.5</v>
      </c>
      <c r="D36" s="10">
        <v>598.11</v>
      </c>
    </row>
    <row r="37" spans="1:4" x14ac:dyDescent="0.25">
      <c r="A37" s="2" t="str">
        <f>"1.1.1.03.42- Caixa Econômica - 532-9 Acid Ped Poupanç"</f>
        <v>1.1.1.03.42- Caixa Econômica - 532-9 Acid Ped Poupanç</v>
      </c>
      <c r="B37" s="10">
        <v>89225.02</v>
      </c>
      <c r="C37" s="10">
        <v>0</v>
      </c>
      <c r="D37" s="10">
        <v>89225.02</v>
      </c>
    </row>
    <row r="38" spans="1:4" x14ac:dyDescent="0.25">
      <c r="A38" s="2" t="str">
        <f>"1.1.1.03.43- Caixa Econômica - 534-5 Codemig Poupança"</f>
        <v>1.1.1.03.43- Caixa Econômica - 534-5 Codemig Poupança</v>
      </c>
      <c r="B38" s="10">
        <v>25951.4</v>
      </c>
      <c r="C38" s="10">
        <v>0</v>
      </c>
      <c r="D38" s="10">
        <v>25951.4</v>
      </c>
    </row>
    <row r="39" spans="1:4" x14ac:dyDescent="0.25">
      <c r="A39" s="2" t="str">
        <f>"1.1.1.03.44- Caixa Econômica - 535-3 Turblog Poupança"</f>
        <v>1.1.1.03.44- Caixa Econômica - 535-3 Turblog Poupança</v>
      </c>
      <c r="B39" s="10">
        <v>63837.8</v>
      </c>
      <c r="C39" s="10">
        <v>0</v>
      </c>
      <c r="D39" s="10">
        <v>63837.8</v>
      </c>
    </row>
    <row r="40" spans="1:4" x14ac:dyDescent="0.25">
      <c r="A40" s="2" t="str">
        <f>"1.1.1.03.45- Caixa Econômica Federal - 3393-8Leilão17"</f>
        <v>1.1.1.03.45- Caixa Econômica Federal - 3393-8Leilão17</v>
      </c>
      <c r="B40" s="10">
        <v>112538.72</v>
      </c>
      <c r="C40" s="10">
        <v>160.27000000000001</v>
      </c>
      <c r="D40" s="10">
        <v>112698.99</v>
      </c>
    </row>
    <row r="41" spans="1:4" x14ac:dyDescent="0.25">
      <c r="A41" s="2" t="str">
        <f>"1.1.1.03.46- Caixa Econômica Federal -3501-9Leillão17"</f>
        <v>1.1.1.03.46- Caixa Econômica Federal -3501-9Leillão17</v>
      </c>
      <c r="B41" s="10">
        <v>93725.69</v>
      </c>
      <c r="C41" s="10">
        <v>313.64</v>
      </c>
      <c r="D41" s="10">
        <v>94039.33</v>
      </c>
    </row>
    <row r="42" spans="1:4" x14ac:dyDescent="0.25">
      <c r="A42" s="2" t="str">
        <f>"1.1.1.04.00- BANCOS C/VINCULADA-PAMEH"</f>
        <v>1.1.1.04.00- BANCOS C/VINCULADA-PAMEH</v>
      </c>
      <c r="B42" s="10">
        <v>2298468.17</v>
      </c>
      <c r="C42" s="10">
        <v>-120995.65</v>
      </c>
      <c r="D42" s="10">
        <v>2177472.52</v>
      </c>
    </row>
    <row r="43" spans="1:4" x14ac:dyDescent="0.25">
      <c r="A43" s="2" t="str">
        <f>"1.1.1.04.07- Caixa Econômica Federal - 3294-0"</f>
        <v>1.1.1.04.07- Caixa Econômica Federal - 3294-0</v>
      </c>
      <c r="B43" s="10">
        <v>14.76</v>
      </c>
      <c r="C43" s="10">
        <v>2200.62</v>
      </c>
      <c r="D43" s="10">
        <v>2215.38</v>
      </c>
    </row>
    <row r="44" spans="1:4" x14ac:dyDescent="0.25">
      <c r="A44" s="2" t="str">
        <f>"1.1.1.04.08- Caixa Econômica Federal - 3294-0 Aplic."</f>
        <v>1.1.1.04.08- Caixa Econômica Federal - 3294-0 Aplic.</v>
      </c>
      <c r="B44" s="10">
        <v>2298453.41</v>
      </c>
      <c r="C44" s="10">
        <v>-123196.27</v>
      </c>
      <c r="D44" s="10">
        <v>2175257.14</v>
      </c>
    </row>
    <row r="45" spans="1:4" x14ac:dyDescent="0.25">
      <c r="A45" s="2" t="str">
        <f>"1.1.2.00.00- REALIZAVEL A CURTO PRAZO"</f>
        <v>1.1.2.00.00- REALIZAVEL A CURTO PRAZO</v>
      </c>
      <c r="B45" s="10">
        <v>8922623.0199999996</v>
      </c>
      <c r="C45" s="10">
        <v>503365.69</v>
      </c>
      <c r="D45" s="10">
        <v>9425988.7100000009</v>
      </c>
    </row>
    <row r="46" spans="1:4" x14ac:dyDescent="0.25">
      <c r="A46" s="2" t="str">
        <f>"1.1.2.01.00- CONTAS A RECEBER"</f>
        <v>1.1.2.01.00- CONTAS A RECEBER</v>
      </c>
      <c r="B46" s="10">
        <v>5352471.7</v>
      </c>
      <c r="C46" s="10">
        <v>218908.17</v>
      </c>
      <c r="D46" s="10">
        <v>5571379.8700000001</v>
      </c>
    </row>
    <row r="47" spans="1:4" x14ac:dyDescent="0.25">
      <c r="A47" s="2" t="str">
        <f>"1.1.2.01.89- Multas Transporte Coletivo"</f>
        <v>1.1.2.01.89- Multas Transporte Coletivo</v>
      </c>
      <c r="B47" s="10">
        <v>6515735.21</v>
      </c>
      <c r="C47" s="10">
        <v>273635.21000000002</v>
      </c>
      <c r="D47" s="10">
        <v>6789370.4199999999</v>
      </c>
    </row>
    <row r="48" spans="1:4" x14ac:dyDescent="0.25">
      <c r="A48" s="2" t="str">
        <f>"1.1.2.01.94- Midia Onibus a Receber"</f>
        <v>1.1.2.01.94- Midia Onibus a Receber</v>
      </c>
      <c r="B48" s="10">
        <v>253567.34</v>
      </c>
      <c r="C48" s="10">
        <v>0</v>
      </c>
      <c r="D48" s="10">
        <v>253567.34</v>
      </c>
    </row>
    <row r="49" spans="1:4" x14ac:dyDescent="0.25">
      <c r="A49" s="2" t="str">
        <f>"1.1.2.01.98- Outras contas a receber"</f>
        <v>1.1.2.01.98- Outras contas a receber</v>
      </c>
      <c r="B49" s="10">
        <v>36005.040000000001</v>
      </c>
      <c r="C49" s="10">
        <v>0</v>
      </c>
      <c r="D49" s="10">
        <v>36005.040000000001</v>
      </c>
    </row>
    <row r="50" spans="1:4" x14ac:dyDescent="0.25">
      <c r="A50" s="2" t="str">
        <f>"1.1.2.01.99- (-) Provisao para Perdas"</f>
        <v>1.1.2.01.99- (-) Provisao para Perdas</v>
      </c>
      <c r="B50" s="10">
        <v>-1452835.89</v>
      </c>
      <c r="C50" s="10">
        <v>-54727.040000000001</v>
      </c>
      <c r="D50" s="10">
        <v>-1507562.93</v>
      </c>
    </row>
    <row r="51" spans="1:4" x14ac:dyDescent="0.25">
      <c r="A51" s="2" t="str">
        <f>"1.1.2.04.00- CONVÊNIOS A RECEBER"</f>
        <v>1.1.2.04.00- CONVÊNIOS A RECEBER</v>
      </c>
      <c r="B51" s="10">
        <v>0</v>
      </c>
      <c r="C51" s="10">
        <v>3432.15</v>
      </c>
      <c r="D51" s="10">
        <v>3432.15</v>
      </c>
    </row>
    <row r="52" spans="1:4" x14ac:dyDescent="0.25">
      <c r="A52" s="2" t="str">
        <f>"1.1.2.04.99- Convenios cedidos a receber"</f>
        <v>1.1.2.04.99- Convenios cedidos a receber</v>
      </c>
      <c r="B52" s="10">
        <v>0</v>
      </c>
      <c r="C52" s="10">
        <v>3432.15</v>
      </c>
      <c r="D52" s="10">
        <v>3432.15</v>
      </c>
    </row>
    <row r="53" spans="1:4" x14ac:dyDescent="0.25">
      <c r="A53" s="2" t="str">
        <f>"1.1.2.06.00- ADIANTAMENTO A EMPREGADOS"</f>
        <v>1.1.2.06.00- ADIANTAMENTO A EMPREGADOS</v>
      </c>
      <c r="B53" s="10">
        <v>1638591.95</v>
      </c>
      <c r="C53" s="10">
        <v>175095.23</v>
      </c>
      <c r="D53" s="10">
        <v>1813687.18</v>
      </c>
    </row>
    <row r="54" spans="1:4" x14ac:dyDescent="0.25">
      <c r="A54" s="2" t="str">
        <f>"1.1.2.06.01- Adiantamento de Ferias"</f>
        <v>1.1.2.06.01- Adiantamento de Ferias</v>
      </c>
      <c r="B54" s="10">
        <v>605464.09</v>
      </c>
      <c r="C54" s="10">
        <v>30023.7</v>
      </c>
      <c r="D54" s="10">
        <v>635487.79</v>
      </c>
    </row>
    <row r="55" spans="1:4" x14ac:dyDescent="0.25">
      <c r="A55" s="2" t="str">
        <f>"1.1.2.06.02- Adiantamento de 13. Salario"</f>
        <v>1.1.2.06.02- Adiantamento de 13. Salario</v>
      </c>
      <c r="B55" s="10">
        <v>765452.71</v>
      </c>
      <c r="C55" s="10">
        <v>126429.69</v>
      </c>
      <c r="D55" s="10">
        <v>891882.4</v>
      </c>
    </row>
    <row r="56" spans="1:4" x14ac:dyDescent="0.25">
      <c r="A56" s="2" t="str">
        <f>"1.1.2.06.03- Adiant. de Salario/Parc. Ferias"</f>
        <v>1.1.2.06.03- Adiant. de Salario/Parc. Ferias</v>
      </c>
      <c r="B56" s="10">
        <v>105548.41</v>
      </c>
      <c r="C56" s="10">
        <v>18238.009999999998</v>
      </c>
      <c r="D56" s="10">
        <v>123786.42</v>
      </c>
    </row>
    <row r="57" spans="1:4" x14ac:dyDescent="0.25">
      <c r="A57" s="2" t="str">
        <f>"1.1.2.06.07- Adiantamento Pensao s/ Ferias"</f>
        <v>1.1.2.06.07- Adiantamento Pensao s/ Ferias</v>
      </c>
      <c r="B57" s="10">
        <v>162126.74</v>
      </c>
      <c r="C57" s="10">
        <v>403.83</v>
      </c>
      <c r="D57" s="10">
        <v>162530.57</v>
      </c>
    </row>
    <row r="58" spans="1:4" x14ac:dyDescent="0.25">
      <c r="A58" s="2" t="str">
        <f>"1.1.2.08.00- ALMOXARIFADO"</f>
        <v>1.1.2.08.00- ALMOXARIFADO</v>
      </c>
      <c r="B58" s="10">
        <v>206964.97</v>
      </c>
      <c r="C58" s="10">
        <v>71806.559999999998</v>
      </c>
      <c r="D58" s="10">
        <v>278771.53000000003</v>
      </c>
    </row>
    <row r="59" spans="1:4" x14ac:dyDescent="0.25">
      <c r="A59" s="2" t="str">
        <f>"1.1.2.08.01- Material em Estoque"</f>
        <v>1.1.2.08.01- Material em Estoque</v>
      </c>
      <c r="B59" s="10">
        <v>206964.97</v>
      </c>
      <c r="C59" s="10">
        <v>71806.559999999998</v>
      </c>
      <c r="D59" s="10">
        <v>278771.53000000003</v>
      </c>
    </row>
    <row r="60" spans="1:4" x14ac:dyDescent="0.25">
      <c r="A60" s="2" t="str">
        <f>"1.1.2.10.00- IMPOSTOS E CONTRIB.A RECUPERAR"</f>
        <v>1.1.2.10.00- IMPOSTOS E CONTRIB.A RECUPERAR</v>
      </c>
      <c r="B60" s="10">
        <v>654390.88</v>
      </c>
      <c r="C60" s="10">
        <v>18763.05</v>
      </c>
      <c r="D60" s="10">
        <v>673153.93</v>
      </c>
    </row>
    <row r="61" spans="1:4" x14ac:dyDescent="0.25">
      <c r="A61" s="2" t="str">
        <f>"1.1.2.10.01- IR s/Aplicacao Financeira"</f>
        <v>1.1.2.10.01- IR s/Aplicacao Financeira</v>
      </c>
      <c r="B61" s="10">
        <v>537185.43000000005</v>
      </c>
      <c r="C61" s="10">
        <v>18707.62</v>
      </c>
      <c r="D61" s="10">
        <v>555893.05000000005</v>
      </c>
    </row>
    <row r="62" spans="1:4" x14ac:dyDescent="0.25">
      <c r="A62" s="2" t="str">
        <f>"1.1.2.10.08- IRRF a Compensar"</f>
        <v>1.1.2.10.08- IRRF a Compensar</v>
      </c>
      <c r="B62" s="10">
        <v>1454.99</v>
      </c>
      <c r="C62" s="10">
        <v>0</v>
      </c>
      <c r="D62" s="10">
        <v>1454.99</v>
      </c>
    </row>
    <row r="63" spans="1:4" x14ac:dyDescent="0.25">
      <c r="A63" s="2" t="str">
        <f>"1.1.2.10.15- Cofins a Compensar"</f>
        <v>1.1.2.10.15- Cofins a Compensar</v>
      </c>
      <c r="B63" s="10">
        <v>0.03</v>
      </c>
      <c r="C63" s="10">
        <v>0</v>
      </c>
      <c r="D63" s="10">
        <v>0.03</v>
      </c>
    </row>
    <row r="64" spans="1:4" x14ac:dyDescent="0.25">
      <c r="A64" s="2" t="str">
        <f>"1.1.2.10.16- PIS a Compensar"</f>
        <v>1.1.2.10.16- PIS a Compensar</v>
      </c>
      <c r="B64" s="10">
        <v>0.03</v>
      </c>
      <c r="C64" s="10">
        <v>0</v>
      </c>
      <c r="D64" s="10">
        <v>0.03</v>
      </c>
    </row>
    <row r="65" spans="1:4" x14ac:dyDescent="0.25">
      <c r="A65" s="2" t="str">
        <f>"1.1.2.10.20- V.M.A PIS a Recuperar"</f>
        <v>1.1.2.10.20- V.M.A PIS a Recuperar</v>
      </c>
      <c r="B65" s="10">
        <v>1501.35</v>
      </c>
      <c r="C65" s="10">
        <v>30.35</v>
      </c>
      <c r="D65" s="10">
        <v>1531.7</v>
      </c>
    </row>
    <row r="66" spans="1:4" x14ac:dyDescent="0.25">
      <c r="A66" s="2" t="str">
        <f>"1.1.2.10.21- V.M.A IRRF a Compensar"</f>
        <v>1.1.2.10.21- V.M.A IRRF a Compensar</v>
      </c>
      <c r="B66" s="10">
        <v>510.16</v>
      </c>
      <c r="C66" s="10">
        <v>7.56</v>
      </c>
      <c r="D66" s="10">
        <v>517.72</v>
      </c>
    </row>
    <row r="67" spans="1:4" x14ac:dyDescent="0.25">
      <c r="A67" s="2" t="str">
        <f>"1.1.2.10.22- V.M.A COFINS a Compensar"</f>
        <v>1.1.2.10.22- V.M.A COFINS a Compensar</v>
      </c>
      <c r="B67" s="10">
        <v>5475.12</v>
      </c>
      <c r="C67" s="10">
        <v>17.52</v>
      </c>
      <c r="D67" s="10">
        <v>5492.64</v>
      </c>
    </row>
    <row r="68" spans="1:4" x14ac:dyDescent="0.25">
      <c r="A68" s="2" t="str">
        <f>"1.1.2.10.25- INSS a recuperar segurados"</f>
        <v>1.1.2.10.25- INSS a recuperar segurados</v>
      </c>
      <c r="B68" s="10">
        <v>108263.77</v>
      </c>
      <c r="C68" s="10">
        <v>0</v>
      </c>
      <c r="D68" s="10">
        <v>108263.77</v>
      </c>
    </row>
    <row r="69" spans="1:4" x14ac:dyDescent="0.25">
      <c r="A69" s="2" t="str">
        <f>"1.1.2.11.00- DESPESAS ANTECIPADAS"</f>
        <v>1.1.2.11.00- DESPESAS ANTECIPADAS</v>
      </c>
      <c r="B69" s="10">
        <v>5417.74</v>
      </c>
      <c r="C69" s="10">
        <v>-690.41</v>
      </c>
      <c r="D69" s="10">
        <v>4727.33</v>
      </c>
    </row>
    <row r="70" spans="1:4" x14ac:dyDescent="0.25">
      <c r="A70" s="2" t="str">
        <f>"1.1.2.11.01- Premios de Seguros a Vencer"</f>
        <v>1.1.2.11.01- Premios de Seguros a Vencer</v>
      </c>
      <c r="B70" s="10">
        <v>5417.74</v>
      </c>
      <c r="C70" s="10">
        <v>-690.41</v>
      </c>
      <c r="D70" s="10">
        <v>4727.33</v>
      </c>
    </row>
    <row r="71" spans="1:4" x14ac:dyDescent="0.25">
      <c r="A71" s="2" t="str">
        <f>"1.1.2.12.00- VALORES VINC.A RECEBER-PAMEH"</f>
        <v>1.1.2.12.00- VALORES VINC.A RECEBER-PAMEH</v>
      </c>
      <c r="B71" s="10">
        <v>791306.33</v>
      </c>
      <c r="C71" s="10">
        <v>-9106.7800000000007</v>
      </c>
      <c r="D71" s="10">
        <v>782199.55</v>
      </c>
    </row>
    <row r="72" spans="1:4" x14ac:dyDescent="0.25">
      <c r="A72" s="2" t="str">
        <f>"1.1.2.12.01- Valores Vinculados-PAMEH"</f>
        <v>1.1.2.12.01- Valores Vinculados-PAMEH</v>
      </c>
      <c r="B72" s="10">
        <v>791306.33</v>
      </c>
      <c r="C72" s="10">
        <v>-9106.7800000000007</v>
      </c>
      <c r="D72" s="10">
        <v>782199.55</v>
      </c>
    </row>
    <row r="73" spans="1:4" x14ac:dyDescent="0.25">
      <c r="A73" s="2" t="str">
        <f>"1.1.2.14.00- CONTAS TRANSITORIAS - GRUPO ATIVO"</f>
        <v>1.1.2.14.00- CONTAS TRANSITORIAS - GRUPO ATIVO</v>
      </c>
      <c r="B73" s="10">
        <v>245060.57</v>
      </c>
      <c r="C73" s="10">
        <v>1339.44</v>
      </c>
      <c r="D73" s="10">
        <v>246400.01</v>
      </c>
    </row>
    <row r="74" spans="1:4" x14ac:dyDescent="0.25">
      <c r="A74" s="2" t="str">
        <f>"1.1.2.14.05- Transitoria Folha de Pagamento"</f>
        <v>1.1.2.14.05- Transitoria Folha de Pagamento</v>
      </c>
      <c r="B74" s="10">
        <v>245060.57</v>
      </c>
      <c r="C74" s="10">
        <v>1339.44</v>
      </c>
      <c r="D74" s="10">
        <v>246400.01</v>
      </c>
    </row>
    <row r="75" spans="1:4" x14ac:dyDescent="0.25">
      <c r="A75" s="2" t="str">
        <f>"1.1.2.15.00- CARNE ESTACIONAMENTO ROTATIVO"</f>
        <v>1.1.2.15.00- CARNE ESTACIONAMENTO ROTATIVO</v>
      </c>
      <c r="B75" s="10">
        <v>28418.880000000001</v>
      </c>
      <c r="C75" s="10">
        <v>23818.28</v>
      </c>
      <c r="D75" s="10">
        <v>52237.16</v>
      </c>
    </row>
    <row r="76" spans="1:4" x14ac:dyDescent="0.25">
      <c r="A76" s="2" t="str">
        <f>"1.1.2.15.01- Carne Rotativo"</f>
        <v>1.1.2.15.01- Carne Rotativo</v>
      </c>
      <c r="B76" s="10">
        <v>28418.880000000001</v>
      </c>
      <c r="C76" s="10">
        <v>23818.28</v>
      </c>
      <c r="D76" s="10">
        <v>52237.16</v>
      </c>
    </row>
    <row r="77" spans="1:4" x14ac:dyDescent="0.25">
      <c r="A77" s="2" t="str">
        <f>"1.2.0.00.00- ATIVO NAO CIRCULANTE"</f>
        <v>1.2.0.00.00- ATIVO NAO CIRCULANTE</v>
      </c>
      <c r="B77" s="10">
        <v>21163195.879999999</v>
      </c>
      <c r="C77" s="10">
        <v>159096.28</v>
      </c>
      <c r="D77" s="10">
        <v>21322292.16</v>
      </c>
    </row>
    <row r="78" spans="1:4" x14ac:dyDescent="0.25">
      <c r="A78" s="2" t="str">
        <f>"1.2.1.00.00- REALIZAVEL A LONGO PRAZO"</f>
        <v>1.2.1.00.00- REALIZAVEL A LONGO PRAZO</v>
      </c>
      <c r="B78" s="10">
        <v>19138356.960000001</v>
      </c>
      <c r="C78" s="10">
        <v>179748.51</v>
      </c>
      <c r="D78" s="10">
        <v>19318105.469999999</v>
      </c>
    </row>
    <row r="79" spans="1:4" x14ac:dyDescent="0.25">
      <c r="A79" s="2" t="str">
        <f>"1.2.1.01.00- CREDITOS E VALORES A RECEBER"</f>
        <v>1.2.1.01.00- CREDITOS E VALORES A RECEBER</v>
      </c>
      <c r="B79" s="10">
        <v>19138356.960000001</v>
      </c>
      <c r="C79" s="10">
        <v>179748.51</v>
      </c>
      <c r="D79" s="10">
        <v>19318105.469999999</v>
      </c>
    </row>
    <row r="80" spans="1:4" x14ac:dyDescent="0.25">
      <c r="A80" s="2" t="str">
        <f>"1.2.1.01.01- Depositos Judiciais"</f>
        <v>1.2.1.01.01- Depositos Judiciais</v>
      </c>
      <c r="B80" s="10">
        <v>6622901.9800000004</v>
      </c>
      <c r="C80" s="10">
        <v>179748.51</v>
      </c>
      <c r="D80" s="10">
        <v>6802650.4900000002</v>
      </c>
    </row>
    <row r="81" spans="1:4" x14ac:dyDescent="0.25">
      <c r="A81" s="2" t="str">
        <f>"1.2.1.01.03- Depositos Judiciais de Terceiros"</f>
        <v>1.2.1.01.03- Depositos Judiciais de Terceiros</v>
      </c>
      <c r="B81" s="10">
        <v>925087.39</v>
      </c>
      <c r="C81" s="10">
        <v>0</v>
      </c>
      <c r="D81" s="10">
        <v>925087.39</v>
      </c>
    </row>
    <row r="82" spans="1:4" x14ac:dyDescent="0.25">
      <c r="A82" s="2" t="str">
        <f>"1.2.1.01.04- Convenio Prefeitura Betim"</f>
        <v>1.2.1.01.04- Convenio Prefeitura Betim</v>
      </c>
      <c r="B82" s="10">
        <v>891.18</v>
      </c>
      <c r="C82" s="10">
        <v>0</v>
      </c>
      <c r="D82" s="10">
        <v>891.18</v>
      </c>
    </row>
    <row r="83" spans="1:4" x14ac:dyDescent="0.25">
      <c r="A83" s="2" t="str">
        <f>"1.2.1.01.05- Convenio IPSEMG"</f>
        <v>1.2.1.01.05- Convenio IPSEMG</v>
      </c>
      <c r="B83" s="10">
        <v>21163.53</v>
      </c>
      <c r="C83" s="10">
        <v>0</v>
      </c>
      <c r="D83" s="10">
        <v>21163.53</v>
      </c>
    </row>
    <row r="84" spans="1:4" x14ac:dyDescent="0.25">
      <c r="A84" s="2" t="str">
        <f>"1.2.1.01.06- Multas Transporte Coletivo"</f>
        <v>1.2.1.01.06- Multas Transporte Coletivo</v>
      </c>
      <c r="B84" s="10">
        <v>12853680.960000001</v>
      </c>
      <c r="C84" s="10">
        <v>0</v>
      </c>
      <c r="D84" s="10">
        <v>12853680.960000001</v>
      </c>
    </row>
    <row r="85" spans="1:4" x14ac:dyDescent="0.25">
      <c r="A85" s="2" t="str">
        <f>"1.2.1.01.07- (-) Provisao para Perdas"</f>
        <v>1.2.1.01.07- (-) Provisao para Perdas</v>
      </c>
      <c r="B85" s="10">
        <v>-1285368.08</v>
      </c>
      <c r="C85" s="10">
        <v>0</v>
      </c>
      <c r="D85" s="10">
        <v>-1285368.08</v>
      </c>
    </row>
    <row r="86" spans="1:4" x14ac:dyDescent="0.25">
      <c r="A86" s="2" t="str">
        <f>"1.3.1.00.00- INVESTIMENTOS"</f>
        <v>1.3.1.00.00- INVESTIMENTOS</v>
      </c>
      <c r="B86" s="10">
        <v>26070</v>
      </c>
      <c r="C86" s="10">
        <v>0</v>
      </c>
      <c r="D86" s="10">
        <v>26070</v>
      </c>
    </row>
    <row r="87" spans="1:4" x14ac:dyDescent="0.25">
      <c r="A87" s="2" t="str">
        <f>"1.3.1.01.00- OUTROS INVESTIMENTOS"</f>
        <v>1.3.1.01.00- OUTROS INVESTIMENTOS</v>
      </c>
      <c r="B87" s="10">
        <v>26070</v>
      </c>
      <c r="C87" s="10">
        <v>0</v>
      </c>
      <c r="D87" s="10">
        <v>26070</v>
      </c>
    </row>
    <row r="88" spans="1:4" x14ac:dyDescent="0.25">
      <c r="A88" s="2" t="str">
        <f>"1.3.1.01.01- Obras de Arte"</f>
        <v>1.3.1.01.01- Obras de Arte</v>
      </c>
      <c r="B88" s="10">
        <v>25200</v>
      </c>
      <c r="C88" s="10">
        <v>0</v>
      </c>
      <c r="D88" s="10">
        <v>25200</v>
      </c>
    </row>
    <row r="89" spans="1:4" x14ac:dyDescent="0.25">
      <c r="A89" s="2" t="str">
        <f>"1.3.1.01.02- Participações Societárias - PBH ATIVOS"</f>
        <v>1.3.1.01.02- Participações Societárias - PBH ATIVOS</v>
      </c>
      <c r="B89" s="10">
        <v>870</v>
      </c>
      <c r="C89" s="10">
        <v>0</v>
      </c>
      <c r="D89" s="10">
        <v>870</v>
      </c>
    </row>
    <row r="90" spans="1:4" x14ac:dyDescent="0.25">
      <c r="A90" s="2" t="str">
        <f>"1.3.2.00.00- IMOBILIZADO"</f>
        <v>1.3.2.00.00- IMOBILIZADO</v>
      </c>
      <c r="B90" s="10">
        <v>7758094.25</v>
      </c>
      <c r="C90" s="10">
        <v>0</v>
      </c>
      <c r="D90" s="10">
        <v>7758094.25</v>
      </c>
    </row>
    <row r="91" spans="1:4" x14ac:dyDescent="0.25">
      <c r="A91" s="2" t="str">
        <f>"1.3.2.01.01- Maquinas e equipamentos"</f>
        <v>1.3.2.01.01- Maquinas e equipamentos</v>
      </c>
      <c r="B91" s="10">
        <v>241624.95999999999</v>
      </c>
      <c r="C91" s="10">
        <v>0</v>
      </c>
      <c r="D91" s="10">
        <v>241624.95999999999</v>
      </c>
    </row>
    <row r="92" spans="1:4" x14ac:dyDescent="0.25">
      <c r="A92" s="2" t="str">
        <f>"1.3.2.02.01- Ferramentas"</f>
        <v>1.3.2.02.01- Ferramentas</v>
      </c>
      <c r="B92" s="10">
        <v>9104.81</v>
      </c>
      <c r="C92" s="10">
        <v>0</v>
      </c>
      <c r="D92" s="10">
        <v>9104.81</v>
      </c>
    </row>
    <row r="93" spans="1:4" x14ac:dyDescent="0.25">
      <c r="A93" s="2" t="str">
        <f>"1.3.2.03.01- Equipamentos de comunicacao"</f>
        <v>1.3.2.03.01- Equipamentos de comunicacao</v>
      </c>
      <c r="B93" s="10">
        <v>172167.01</v>
      </c>
      <c r="C93" s="10">
        <v>0</v>
      </c>
      <c r="D93" s="10">
        <v>172167.01</v>
      </c>
    </row>
    <row r="94" spans="1:4" x14ac:dyDescent="0.25">
      <c r="A94" s="2" t="str">
        <f>"1.3.2.04.01- Instalacoes"</f>
        <v>1.3.2.04.01- Instalacoes</v>
      </c>
      <c r="B94" s="10">
        <v>85222.9</v>
      </c>
      <c r="C94" s="10">
        <v>0</v>
      </c>
      <c r="D94" s="10">
        <v>85222.9</v>
      </c>
    </row>
    <row r="95" spans="1:4" x14ac:dyDescent="0.25">
      <c r="A95" s="2" t="str">
        <f>"1.3.2.06.01- Moveis e utensilios"</f>
        <v>1.3.2.06.01- Moveis e utensilios</v>
      </c>
      <c r="B95" s="10">
        <v>541731.43999999994</v>
      </c>
      <c r="C95" s="10">
        <v>0</v>
      </c>
      <c r="D95" s="10">
        <v>541731.43999999994</v>
      </c>
    </row>
    <row r="96" spans="1:4" x14ac:dyDescent="0.25">
      <c r="A96" s="2" t="str">
        <f>"1.3.2.08.01- Instalacoes administrativas"</f>
        <v>1.3.2.08.01- Instalacoes administrativas</v>
      </c>
      <c r="B96" s="10">
        <v>99146.34</v>
      </c>
      <c r="C96" s="10">
        <v>0</v>
      </c>
      <c r="D96" s="10">
        <v>99146.34</v>
      </c>
    </row>
    <row r="97" spans="1:4" x14ac:dyDescent="0.25">
      <c r="A97" s="2" t="str">
        <f>"1.3.2.09.01- Aparelhos/equipamentos diversos"</f>
        <v>1.3.2.09.01- Aparelhos/equipamentos diversos</v>
      </c>
      <c r="B97" s="10">
        <v>650934.13</v>
      </c>
      <c r="C97" s="10">
        <v>0</v>
      </c>
      <c r="D97" s="10">
        <v>650934.13</v>
      </c>
    </row>
    <row r="98" spans="1:4" x14ac:dyDescent="0.25">
      <c r="A98" s="2" t="str">
        <f>"1.3.2.10.01- Equip. p/ processamento de dados"</f>
        <v>1.3.2.10.01- Equip. p/ processamento de dados</v>
      </c>
      <c r="B98" s="10">
        <v>1550246.6</v>
      </c>
      <c r="C98" s="10">
        <v>0</v>
      </c>
      <c r="D98" s="10">
        <v>1550246.6</v>
      </c>
    </row>
    <row r="99" spans="1:4" x14ac:dyDescent="0.25">
      <c r="A99" s="2" t="str">
        <f>"1.3.2.12.01- Micros/impressoras e acessorios"</f>
        <v>1.3.2.12.01- Micros/impressoras e acessorios</v>
      </c>
      <c r="B99" s="10">
        <v>2690531.68</v>
      </c>
      <c r="C99" s="10">
        <v>0</v>
      </c>
      <c r="D99" s="10">
        <v>2690531.68</v>
      </c>
    </row>
    <row r="100" spans="1:4" x14ac:dyDescent="0.25">
      <c r="A100" s="2" t="str">
        <f>"1.3.2.13.01- Imobilizacao em imoveis de terceiros"</f>
        <v>1.3.2.13.01- Imobilizacao em imoveis de terceiros</v>
      </c>
      <c r="B100" s="10">
        <v>511539.98</v>
      </c>
      <c r="C100" s="10">
        <v>0</v>
      </c>
      <c r="D100" s="10">
        <v>511539.98</v>
      </c>
    </row>
    <row r="101" spans="1:4" x14ac:dyDescent="0.25">
      <c r="A101" s="2" t="str">
        <f>"1.3.2.14.01- Estacao Diamante"</f>
        <v>1.3.2.14.01- Estacao Diamante</v>
      </c>
      <c r="B101" s="10">
        <v>1162384.46</v>
      </c>
      <c r="C101" s="10">
        <v>0</v>
      </c>
      <c r="D101" s="10">
        <v>1162384.46</v>
      </c>
    </row>
    <row r="102" spans="1:4" x14ac:dyDescent="0.25">
      <c r="A102" s="2" t="str">
        <f>"1.3.2.15.00- IMOBILIZACOES EM ANDAMENTO"</f>
        <v>1.3.2.15.00- IMOBILIZACOES EM ANDAMENTO</v>
      </c>
      <c r="B102" s="10">
        <v>43459.94</v>
      </c>
      <c r="C102" s="10">
        <v>0</v>
      </c>
      <c r="D102" s="10">
        <v>43459.94</v>
      </c>
    </row>
    <row r="103" spans="1:4" x14ac:dyDescent="0.25">
      <c r="A103" s="2" t="str">
        <f>"1.3.2.15.01- Construcoes em Andamento"</f>
        <v>1.3.2.15.01- Construcoes em Andamento</v>
      </c>
      <c r="B103" s="10">
        <v>43459.94</v>
      </c>
      <c r="C103" s="10">
        <v>0</v>
      </c>
      <c r="D103" s="10">
        <v>43459.94</v>
      </c>
    </row>
    <row r="104" spans="1:4" x14ac:dyDescent="0.25">
      <c r="A104" s="2" t="str">
        <f>"1.3.3.00.00- INTANGIVEL"</f>
        <v>1.3.3.00.00- INTANGIVEL</v>
      </c>
      <c r="B104" s="10">
        <v>37558</v>
      </c>
      <c r="C104" s="10">
        <v>0</v>
      </c>
      <c r="D104" s="10">
        <v>37558</v>
      </c>
    </row>
    <row r="105" spans="1:4" x14ac:dyDescent="0.25">
      <c r="A105" s="2" t="str">
        <f>"1.3.3.03.00- MARCAS E PATENTES"</f>
        <v>1.3.3.03.00- MARCAS E PATENTES</v>
      </c>
      <c r="B105" s="10">
        <v>0</v>
      </c>
      <c r="C105" s="10">
        <v>404</v>
      </c>
      <c r="D105" s="10">
        <v>404</v>
      </c>
    </row>
    <row r="106" spans="1:4" x14ac:dyDescent="0.25">
      <c r="A106" s="2" t="str">
        <f>"1.3.3.03.01- Marcas e Patentes"</f>
        <v>1.3.3.03.01- Marcas e Patentes</v>
      </c>
      <c r="B106" s="10">
        <v>0</v>
      </c>
      <c r="C106" s="10">
        <v>404</v>
      </c>
      <c r="D106" s="10">
        <v>404</v>
      </c>
    </row>
    <row r="107" spans="1:4" x14ac:dyDescent="0.25">
      <c r="A107" s="2" t="str">
        <f>"1.3.3.04.01- Programas e Sistemas"</f>
        <v>1.3.3.04.01- Programas e Sistemas</v>
      </c>
      <c r="B107" s="10">
        <v>37558</v>
      </c>
      <c r="C107" s="10">
        <v>-404</v>
      </c>
      <c r="D107" s="10">
        <v>37154</v>
      </c>
    </row>
    <row r="108" spans="1:4" x14ac:dyDescent="0.25">
      <c r="A108" s="2" t="str">
        <f>"1.3.5.00.00- ( - )DEPRECIACAO E AMORTIZACAO"</f>
        <v>1.3.5.00.00- ( - )DEPRECIACAO E AMORTIZACAO</v>
      </c>
      <c r="B108" s="10">
        <v>-5796883.3300000001</v>
      </c>
      <c r="C108" s="10">
        <v>-20652.23</v>
      </c>
      <c r="D108" s="10">
        <v>-5817535.5599999996</v>
      </c>
    </row>
    <row r="109" spans="1:4" x14ac:dyDescent="0.25">
      <c r="A109" s="2" t="str">
        <f>"1.3.5.01.00- ( - ) DEPRECIACAO E AMORTIZACAO"</f>
        <v>1.3.5.01.00- ( - ) DEPRECIACAO E AMORTIZACAO</v>
      </c>
      <c r="B109" s="10">
        <v>-5796883.3300000001</v>
      </c>
      <c r="C109" s="10">
        <v>-20652.23</v>
      </c>
      <c r="D109" s="10">
        <v>-5817535.5599999996</v>
      </c>
    </row>
    <row r="110" spans="1:4" x14ac:dyDescent="0.25">
      <c r="A110" s="2" t="str">
        <f>"1.3.5.01.01- ( - ) Moveis e Utensilios"</f>
        <v>1.3.5.01.01- ( - ) Moveis e Utensilios</v>
      </c>
      <c r="B110" s="10">
        <v>-453943.18</v>
      </c>
      <c r="C110" s="10">
        <v>-2407.37</v>
      </c>
      <c r="D110" s="10">
        <v>-456350.55</v>
      </c>
    </row>
    <row r="111" spans="1:4" x14ac:dyDescent="0.25">
      <c r="A111" s="2" t="str">
        <f>"1.3.5.01.02- ( - ) Aparelhos/Equipamentos Diversos"</f>
        <v>1.3.5.01.02- ( - ) Aparelhos/Equipamentos Diversos</v>
      </c>
      <c r="B111" s="10">
        <v>-382898.34</v>
      </c>
      <c r="C111" s="10">
        <v>-4113.92</v>
      </c>
      <c r="D111" s="10">
        <v>-387012.26</v>
      </c>
    </row>
    <row r="112" spans="1:4" x14ac:dyDescent="0.25">
      <c r="A112" s="2" t="str">
        <f>"1.3.5.01.03- ( - ) Instalacoes Administrativas"</f>
        <v>1.3.5.01.03- ( - ) Instalacoes Administrativas</v>
      </c>
      <c r="B112" s="10">
        <v>-99039.67</v>
      </c>
      <c r="C112" s="10">
        <v>-3.31</v>
      </c>
      <c r="D112" s="10">
        <v>-99042.98</v>
      </c>
    </row>
    <row r="113" spans="1:4" x14ac:dyDescent="0.25">
      <c r="A113" s="2" t="str">
        <f>"1.3.5.01.05- ( - ) Impressoras e Micros"</f>
        <v>1.3.5.01.05- ( - ) Impressoras e Micros</v>
      </c>
      <c r="B113" s="10">
        <v>-3291066.57</v>
      </c>
      <c r="C113" s="10">
        <v>-6163.82</v>
      </c>
      <c r="D113" s="10">
        <v>-3297230.39</v>
      </c>
    </row>
    <row r="114" spans="1:4" x14ac:dyDescent="0.25">
      <c r="A114" s="2" t="str">
        <f>"1.3.5.01.06- ( - ) Maquinas e Equipamentos"</f>
        <v>1.3.5.01.06- ( - ) Maquinas e Equipamentos</v>
      </c>
      <c r="B114" s="10">
        <v>-163336.56</v>
      </c>
      <c r="C114" s="10">
        <v>-1454.93</v>
      </c>
      <c r="D114" s="10">
        <v>-164791.49</v>
      </c>
    </row>
    <row r="115" spans="1:4" x14ac:dyDescent="0.25">
      <c r="A115" s="2" t="str">
        <f>"1.3.5.01.07- ( - ) Equipamentos de Comunicacao"</f>
        <v>1.3.5.01.07- ( - ) Equipamentos de Comunicacao</v>
      </c>
      <c r="B115" s="10">
        <v>-172079.85</v>
      </c>
      <c r="C115" s="10">
        <v>-7.16</v>
      </c>
      <c r="D115" s="10">
        <v>-172087.01</v>
      </c>
    </row>
    <row r="116" spans="1:4" x14ac:dyDescent="0.25">
      <c r="A116" s="2" t="str">
        <f>"1.3.5.01.08- ( - ) Instalacoes Operacionais"</f>
        <v>1.3.5.01.08- ( - ) Instalacoes Operacionais</v>
      </c>
      <c r="B116" s="10">
        <v>-67748.850000000006</v>
      </c>
      <c r="C116" s="10">
        <v>-252.62</v>
      </c>
      <c r="D116" s="10">
        <v>-68001.47</v>
      </c>
    </row>
    <row r="117" spans="1:4" x14ac:dyDescent="0.25">
      <c r="A117" s="2" t="str">
        <f>"1.3.5.01.09- ( - ) Programas (Softwares)"</f>
        <v>1.3.5.01.09- ( - ) Programas (Softwares)</v>
      </c>
      <c r="B117" s="10">
        <v>-31804.69</v>
      </c>
      <c r="C117" s="10">
        <v>-612.5</v>
      </c>
      <c r="D117" s="10">
        <v>-32417.19</v>
      </c>
    </row>
    <row r="118" spans="1:4" x14ac:dyDescent="0.25">
      <c r="A118" s="2" t="str">
        <f>"1.3.5.01.14- ( - ) Ferramentas"</f>
        <v>1.3.5.01.14- ( - ) Ferramentas</v>
      </c>
      <c r="B118" s="10">
        <v>-7430.38</v>
      </c>
      <c r="C118" s="10">
        <v>-56.85</v>
      </c>
      <c r="D118" s="10">
        <v>-7487.23</v>
      </c>
    </row>
    <row r="119" spans="1:4" x14ac:dyDescent="0.25">
      <c r="A119" s="2" t="str">
        <f>"1.3.5.01.15- ( - ) Imobilizacoes em Imov. Terceiros"</f>
        <v>1.3.5.01.15- ( - ) Imobilizacoes em Imov. Terceiros</v>
      </c>
      <c r="B119" s="10">
        <v>-1127535.24</v>
      </c>
      <c r="C119" s="10">
        <v>-5579.75</v>
      </c>
      <c r="D119" s="10">
        <v>-1133114.99</v>
      </c>
    </row>
    <row r="120" spans="1:4" x14ac:dyDescent="0.25">
      <c r="A120" s="2" t="str">
        <f>""</f>
        <v/>
      </c>
      <c r="B120" s="3" t="str">
        <f>""</f>
        <v/>
      </c>
      <c r="C120" s="3" t="str">
        <f>""</f>
        <v/>
      </c>
      <c r="D120" s="3" t="str">
        <f>""</f>
        <v/>
      </c>
    </row>
    <row r="121" spans="1:4" x14ac:dyDescent="0.25">
      <c r="A121" s="2" t="str">
        <f>"PASSIVO"</f>
        <v>PASSIVO</v>
      </c>
      <c r="B121" s="3" t="str">
        <f>""</f>
        <v/>
      </c>
      <c r="C121" s="3" t="str">
        <f>""</f>
        <v/>
      </c>
      <c r="D121" s="3" t="str">
        <f>""</f>
        <v/>
      </c>
    </row>
    <row r="122" spans="1:4" x14ac:dyDescent="0.25">
      <c r="A122" s="2" t="str">
        <f>"2.0.0.00.00- PASSIVO"</f>
        <v>2.0.0.00.00- PASSIVO</v>
      </c>
      <c r="B122" s="10">
        <v>42959212.829999998</v>
      </c>
      <c r="C122" s="10">
        <v>2348496.9500000002</v>
      </c>
      <c r="D122" s="10">
        <v>45307709.780000001</v>
      </c>
    </row>
    <row r="123" spans="1:4" x14ac:dyDescent="0.25">
      <c r="A123" s="2" t="str">
        <f>"2.1.0.00.00- PASSIVO CIRCULANTE"</f>
        <v>2.1.0.00.00- PASSIVO CIRCULANTE</v>
      </c>
      <c r="B123" s="10">
        <v>71798340.540000007</v>
      </c>
      <c r="C123" s="10">
        <v>2479105.91</v>
      </c>
      <c r="D123" s="10">
        <v>74277446.450000003</v>
      </c>
    </row>
    <row r="124" spans="1:4" x14ac:dyDescent="0.25">
      <c r="A124" s="2" t="str">
        <f>"2.1.1.00.00- OBRIGACOES COM PESSOAL"</f>
        <v>2.1.1.00.00- OBRIGACOES COM PESSOAL</v>
      </c>
      <c r="B124" s="10">
        <v>15612817.689999999</v>
      </c>
      <c r="C124" s="10">
        <v>-386707.59</v>
      </c>
      <c r="D124" s="10">
        <v>15226110.1</v>
      </c>
    </row>
    <row r="125" spans="1:4" x14ac:dyDescent="0.25">
      <c r="A125" s="2" t="str">
        <f>"2.1.1.01.00- SALARIOS A PAGAR"</f>
        <v>2.1.1.01.00- SALARIOS A PAGAR</v>
      </c>
      <c r="B125" s="10">
        <v>15612817.689999999</v>
      </c>
      <c r="C125" s="10">
        <v>-386707.59</v>
      </c>
      <c r="D125" s="10">
        <v>15226110.1</v>
      </c>
    </row>
    <row r="126" spans="1:4" x14ac:dyDescent="0.25">
      <c r="A126" s="2" t="str">
        <f>"2.1.1.01.01- Salarios a Pagar"</f>
        <v>2.1.1.01.01- Salarios a Pagar</v>
      </c>
      <c r="B126" s="10">
        <v>5280906.04</v>
      </c>
      <c r="C126" s="10">
        <v>-8910.4699999999993</v>
      </c>
      <c r="D126" s="10">
        <v>5271995.57</v>
      </c>
    </row>
    <row r="127" spans="1:4" x14ac:dyDescent="0.25">
      <c r="A127" s="2" t="str">
        <f>"2.1.1.01.02- Provisão 13º Salário"</f>
        <v>2.1.1.01.02- Provisão 13º Salário</v>
      </c>
      <c r="B127" s="10">
        <v>1933174.61</v>
      </c>
      <c r="C127" s="10">
        <v>465775.21</v>
      </c>
      <c r="D127" s="10">
        <v>2398949.8199999998</v>
      </c>
    </row>
    <row r="128" spans="1:4" x14ac:dyDescent="0.25">
      <c r="A128" s="2" t="str">
        <f>"2.1.1.01.03- Ferias a pagar"</f>
        <v>2.1.1.01.03- Ferias a pagar</v>
      </c>
      <c r="B128" s="10">
        <v>107581.24</v>
      </c>
      <c r="C128" s="10">
        <v>-42112.61</v>
      </c>
      <c r="D128" s="10">
        <v>65468.63</v>
      </c>
    </row>
    <row r="129" spans="1:4" x14ac:dyDescent="0.25">
      <c r="A129" s="2" t="str">
        <f>"2.1.1.01.05- Rescisoes a Pagar"</f>
        <v>2.1.1.01.05- Rescisoes a Pagar</v>
      </c>
      <c r="B129" s="10">
        <v>728.71</v>
      </c>
      <c r="C129" s="10">
        <v>330.25</v>
      </c>
      <c r="D129" s="10">
        <v>1058.96</v>
      </c>
    </row>
    <row r="130" spans="1:4" x14ac:dyDescent="0.25">
      <c r="A130" s="2" t="str">
        <f>"2.1.1.01.09- Provisao de Ferias"</f>
        <v>2.1.1.01.09- Provisao de Ferias</v>
      </c>
      <c r="B130" s="10">
        <v>7211493.8700000001</v>
      </c>
      <c r="C130" s="10">
        <v>183666.1</v>
      </c>
      <c r="D130" s="10">
        <v>7395159.9699999997</v>
      </c>
    </row>
    <row r="131" spans="1:4" x14ac:dyDescent="0.25">
      <c r="A131" s="2" t="str">
        <f>"2.1.1.01.11- Indenizações trabalhistas - ACT"</f>
        <v>2.1.1.01.11- Indenizações trabalhistas - ACT</v>
      </c>
      <c r="B131" s="10">
        <v>1078933.22</v>
      </c>
      <c r="C131" s="10">
        <v>-985456.07</v>
      </c>
      <c r="D131" s="10">
        <v>93477.15</v>
      </c>
    </row>
    <row r="132" spans="1:4" x14ac:dyDescent="0.25">
      <c r="A132" s="2" t="str">
        <f>"2.1.2.00.00- OBRIGACOES SOCIAIS A CURTO PRAZO"</f>
        <v>2.1.2.00.00- OBRIGACOES SOCIAIS A CURTO PRAZO</v>
      </c>
      <c r="B132" s="10">
        <v>6868494.4299999997</v>
      </c>
      <c r="C132" s="10">
        <v>358008.27</v>
      </c>
      <c r="D132" s="10">
        <v>7226502.7000000002</v>
      </c>
    </row>
    <row r="133" spans="1:4" x14ac:dyDescent="0.25">
      <c r="A133" s="2" t="str">
        <f>"2.1.2.01.00- OBRIGACOES SOCIAIS A RECOLHER"</f>
        <v>2.1.2.01.00- OBRIGACOES SOCIAIS A RECOLHER</v>
      </c>
      <c r="B133" s="10">
        <v>6868494.4299999997</v>
      </c>
      <c r="C133" s="10">
        <v>358008.27</v>
      </c>
      <c r="D133" s="10">
        <v>7226502.7000000002</v>
      </c>
    </row>
    <row r="134" spans="1:4" x14ac:dyDescent="0.25">
      <c r="A134" s="2" t="str">
        <f>"2.1.2.01.01- INSS a recolher s/Folha Pagto"</f>
        <v>2.1.2.01.01- INSS a recolher s/Folha Pagto</v>
      </c>
      <c r="B134" s="10">
        <v>2337549.6</v>
      </c>
      <c r="C134" s="10">
        <v>-32147.42</v>
      </c>
      <c r="D134" s="10">
        <v>2305402.1800000002</v>
      </c>
    </row>
    <row r="135" spans="1:4" x14ac:dyDescent="0.25">
      <c r="A135" s="2" t="str">
        <f>"2.1.2.01.02- FGTS a recolher s/Folha Pagto"</f>
        <v>2.1.2.01.02- FGTS a recolher s/Folha Pagto</v>
      </c>
      <c r="B135" s="10">
        <v>528417.89</v>
      </c>
      <c r="C135" s="10">
        <v>-10211.08</v>
      </c>
      <c r="D135" s="10">
        <v>518206.81</v>
      </c>
    </row>
    <row r="136" spans="1:4" x14ac:dyDescent="0.25">
      <c r="A136" s="2" t="str">
        <f>"2.1.2.01.05- Contribuicao Sindical"</f>
        <v>2.1.2.01.05- Contribuicao Sindical</v>
      </c>
      <c r="B136" s="10">
        <v>8356.81</v>
      </c>
      <c r="C136" s="10">
        <v>-17.77</v>
      </c>
      <c r="D136" s="10">
        <v>8339.0400000000009</v>
      </c>
    </row>
    <row r="137" spans="1:4" x14ac:dyDescent="0.25">
      <c r="A137" s="2" t="str">
        <f>"2.1.2.01.06- INSS s/Provisao de Ferias"</f>
        <v>2.1.2.01.06- INSS s/Provisao de Ferias</v>
      </c>
      <c r="B137" s="10">
        <v>2081191.9</v>
      </c>
      <c r="C137" s="10">
        <v>61721.09</v>
      </c>
      <c r="D137" s="10">
        <v>2142912.9900000002</v>
      </c>
    </row>
    <row r="138" spans="1:4" x14ac:dyDescent="0.25">
      <c r="A138" s="2" t="str">
        <f>"2.1.2.01.07- AEB - Assoc. Empreg. BHTRANS"</f>
        <v>2.1.2.01.07- AEB - Assoc. Empreg. BHTRANS</v>
      </c>
      <c r="B138" s="10">
        <v>4638.7700000000004</v>
      </c>
      <c r="C138" s="10">
        <v>160.02000000000001</v>
      </c>
      <c r="D138" s="10">
        <v>4798.79</v>
      </c>
    </row>
    <row r="139" spans="1:4" x14ac:dyDescent="0.25">
      <c r="A139" s="2" t="str">
        <f>"2.1.2.01.09- INSS a Recolher s/Autonomos"</f>
        <v>2.1.2.01.09- INSS a Recolher s/Autonomos</v>
      </c>
      <c r="B139" s="10">
        <v>3119.31</v>
      </c>
      <c r="C139" s="10">
        <v>-3119.31</v>
      </c>
      <c r="D139" s="10">
        <v>0</v>
      </c>
    </row>
    <row r="140" spans="1:4" x14ac:dyDescent="0.25">
      <c r="A140" s="2" t="str">
        <f>"2.1.2.01.10- INSS s/Provisao de 13.Salario"</f>
        <v>2.1.2.01.10- INSS s/Provisao de 13.Salario</v>
      </c>
      <c r="B140" s="10">
        <v>561258.56999999995</v>
      </c>
      <c r="C140" s="10">
        <v>135913.28</v>
      </c>
      <c r="D140" s="10">
        <v>697171.85</v>
      </c>
    </row>
    <row r="141" spans="1:4" x14ac:dyDescent="0.25">
      <c r="A141" s="2" t="str">
        <f>"2.1.2.01.11- FGTS s/Provisao de 13.Salario"</f>
        <v>2.1.2.01.11- FGTS s/Provisao de 13.Salario</v>
      </c>
      <c r="B141" s="10">
        <v>110637.97</v>
      </c>
      <c r="C141" s="10">
        <v>21236.32</v>
      </c>
      <c r="D141" s="10">
        <v>131874.29</v>
      </c>
    </row>
    <row r="142" spans="1:4" x14ac:dyDescent="0.25">
      <c r="A142" s="2" t="str">
        <f>"2.1.2.01.12- FGTS s/Provisao de Ferias"</f>
        <v>2.1.2.01.12- FGTS s/Provisao de Ferias</v>
      </c>
      <c r="B142" s="10">
        <v>574403.43000000005</v>
      </c>
      <c r="C142" s="10">
        <v>16484.29</v>
      </c>
      <c r="D142" s="10">
        <v>590887.72</v>
      </c>
    </row>
    <row r="143" spans="1:4" x14ac:dyDescent="0.25">
      <c r="A143" s="2" t="str">
        <f>"2.1.2.01.13- Contribuicao ao PAMEH"</f>
        <v>2.1.2.01.13- Contribuicao ao PAMEH</v>
      </c>
      <c r="B143" s="10">
        <v>507641.73</v>
      </c>
      <c r="C143" s="10">
        <v>-11720.49</v>
      </c>
      <c r="D143" s="10">
        <v>495921.24</v>
      </c>
    </row>
    <row r="144" spans="1:4" x14ac:dyDescent="0.25">
      <c r="A144" s="2" t="str">
        <f>"2.1.2.01.15- Crediserv-BH"</f>
        <v>2.1.2.01.15- Crediserv-BH</v>
      </c>
      <c r="B144" s="10">
        <v>21669.34</v>
      </c>
      <c r="C144" s="10">
        <v>-2343.2600000000002</v>
      </c>
      <c r="D144" s="10">
        <v>19326.080000000002</v>
      </c>
    </row>
    <row r="145" spans="1:4" x14ac:dyDescent="0.25">
      <c r="A145" s="2" t="str">
        <f>"2.1.2.01.16- INSS Fonte a Recolher - PJ"</f>
        <v>2.1.2.01.16- INSS Fonte a Recolher - PJ</v>
      </c>
      <c r="B145" s="10">
        <v>128161.33</v>
      </c>
      <c r="C145" s="10">
        <v>182744.31</v>
      </c>
      <c r="D145" s="10">
        <v>310905.64</v>
      </c>
    </row>
    <row r="146" spans="1:4" x14ac:dyDescent="0.25">
      <c r="A146" s="2" t="str">
        <f>"2.1.2.01.18- INSS Fonte a Recolher - P F"</f>
        <v>2.1.2.01.18- INSS Fonte a Recolher - P F</v>
      </c>
      <c r="B146" s="10">
        <v>1447.78</v>
      </c>
      <c r="C146" s="10">
        <v>-691.71</v>
      </c>
      <c r="D146" s="10">
        <v>756.07</v>
      </c>
    </row>
    <row r="147" spans="1:4" x14ac:dyDescent="0.25">
      <c r="A147" s="2" t="str">
        <f>"2.1.3.00.00- OBRIGACOES FISCAIS A CURTO PRAZO"</f>
        <v>2.1.3.00.00- OBRIGACOES FISCAIS A CURTO PRAZO</v>
      </c>
      <c r="B147" s="10">
        <v>1984356.12</v>
      </c>
      <c r="C147" s="10">
        <v>154920.68</v>
      </c>
      <c r="D147" s="10">
        <v>2139276.7999999998</v>
      </c>
    </row>
    <row r="148" spans="1:4" x14ac:dyDescent="0.25">
      <c r="A148" s="2" t="str">
        <f>"2.1.3.01.00- IMPOSTOS E TAXAS A RECOLHER"</f>
        <v>2.1.3.01.00- IMPOSTOS E TAXAS A RECOLHER</v>
      </c>
      <c r="B148" s="10">
        <v>1984356.12</v>
      </c>
      <c r="C148" s="10">
        <v>154920.68</v>
      </c>
      <c r="D148" s="10">
        <v>2139276.7999999998</v>
      </c>
    </row>
    <row r="149" spans="1:4" x14ac:dyDescent="0.25">
      <c r="A149" s="2" t="str">
        <f>"2.1.3.01.01- IRRF Fonte Folha Pagto"</f>
        <v>2.1.3.01.01- IRRF Fonte Folha Pagto</v>
      </c>
      <c r="B149" s="10">
        <v>607213.14</v>
      </c>
      <c r="C149" s="10">
        <v>160346.16</v>
      </c>
      <c r="D149" s="10">
        <v>767559.3</v>
      </c>
    </row>
    <row r="150" spans="1:4" x14ac:dyDescent="0.25">
      <c r="A150" s="2" t="str">
        <f>"2.1.3.01.03- IRRF Fonte - Pessoa  Juridica e Física"</f>
        <v>2.1.3.01.03- IRRF Fonte - Pessoa  Juridica e Física</v>
      </c>
      <c r="B150" s="10">
        <v>13077.08</v>
      </c>
      <c r="C150" s="10">
        <v>16636.05</v>
      </c>
      <c r="D150" s="10">
        <v>29713.13</v>
      </c>
    </row>
    <row r="151" spans="1:4" x14ac:dyDescent="0.25">
      <c r="A151" s="2" t="str">
        <f>"2.1.3.01.04- ISS Retido Fonte PF"</f>
        <v>2.1.3.01.04- ISS Retido Fonte PF</v>
      </c>
      <c r="B151" s="10">
        <v>275</v>
      </c>
      <c r="C151" s="10">
        <v>-275</v>
      </c>
      <c r="D151" s="10">
        <v>0</v>
      </c>
    </row>
    <row r="152" spans="1:4" x14ac:dyDescent="0.25">
      <c r="A152" s="2" t="str">
        <f>"2.1.3.01.05- ISS S/ Faturamento"</f>
        <v>2.1.3.01.05- ISS S/ Faturamento</v>
      </c>
      <c r="B152" s="10">
        <v>1892.65</v>
      </c>
      <c r="C152" s="10">
        <v>247.54</v>
      </c>
      <c r="D152" s="10">
        <v>2140.19</v>
      </c>
    </row>
    <row r="153" spans="1:4" x14ac:dyDescent="0.25">
      <c r="A153" s="2" t="str">
        <f>"2.1.3.01.07- COFINS a Recolher"</f>
        <v>2.1.3.01.07- COFINS a Recolher</v>
      </c>
      <c r="B153" s="10">
        <v>1055930.3799999999</v>
      </c>
      <c r="C153" s="10">
        <v>-80563.16</v>
      </c>
      <c r="D153" s="10">
        <v>975367.22</v>
      </c>
    </row>
    <row r="154" spans="1:4" x14ac:dyDescent="0.25">
      <c r="A154" s="2" t="str">
        <f>"2.1.3.01.08- PIS a Recolher"</f>
        <v>2.1.3.01.08- PIS a Recolher</v>
      </c>
      <c r="B154" s="10">
        <v>229056.49</v>
      </c>
      <c r="C154" s="10">
        <v>-17489.560000000001</v>
      </c>
      <c r="D154" s="10">
        <v>211566.93</v>
      </c>
    </row>
    <row r="155" spans="1:4" x14ac:dyDescent="0.25">
      <c r="A155" s="2" t="str">
        <f>"2.1.3.01.09- ISS Fonte a Recolher P.Juridica"</f>
        <v>2.1.3.01.09- ISS Fonte a Recolher P.Juridica</v>
      </c>
      <c r="B155" s="10">
        <v>6673.79</v>
      </c>
      <c r="C155" s="10">
        <v>-1184.05</v>
      </c>
      <c r="D155" s="10">
        <v>5489.74</v>
      </c>
    </row>
    <row r="156" spans="1:4" x14ac:dyDescent="0.25">
      <c r="A156" s="2" t="str">
        <f>"2.1.3.01.12- CSLL-COFINS-PIS - FONTE"</f>
        <v>2.1.3.01.12- CSLL-COFINS-PIS - FONTE</v>
      </c>
      <c r="B156" s="10">
        <v>70237.59</v>
      </c>
      <c r="C156" s="10">
        <v>77202.7</v>
      </c>
      <c r="D156" s="10">
        <v>147440.29</v>
      </c>
    </row>
    <row r="157" spans="1:4" x14ac:dyDescent="0.25">
      <c r="A157" s="2" t="str">
        <f>"2.1.4.00.00- OUTRAS OBRIGACOES A CURTO PRAZO"</f>
        <v>2.1.4.00.00- OUTRAS OBRIGACOES A CURTO PRAZO</v>
      </c>
      <c r="B157" s="10">
        <v>47285418.579999998</v>
      </c>
      <c r="C157" s="10">
        <v>2352378.02</v>
      </c>
      <c r="D157" s="10">
        <v>49637796.600000001</v>
      </c>
    </row>
    <row r="158" spans="1:4" x14ac:dyDescent="0.25">
      <c r="A158" s="2" t="str">
        <f>"2.1.4.01.00- FORNECEDORES"</f>
        <v>2.1.4.01.00- FORNECEDORES</v>
      </c>
      <c r="B158" s="10">
        <v>2791152.11</v>
      </c>
      <c r="C158" s="10">
        <v>802639</v>
      </c>
      <c r="D158" s="10">
        <v>3593791.11</v>
      </c>
    </row>
    <row r="159" spans="1:4" x14ac:dyDescent="0.25">
      <c r="A159" s="2" t="str">
        <f>"2.1.4.01.99- Fornecedores"</f>
        <v>2.1.4.01.99- Fornecedores</v>
      </c>
      <c r="B159" s="10">
        <v>2791152.11</v>
      </c>
      <c r="C159" s="10">
        <v>802639</v>
      </c>
      <c r="D159" s="10">
        <v>3593791.11</v>
      </c>
    </row>
    <row r="160" spans="1:4" x14ac:dyDescent="0.25">
      <c r="A160" s="2" t="str">
        <f>"2.1.4.02.00- CONTAS A PAGAR"</f>
        <v>2.1.4.02.00- CONTAS A PAGAR</v>
      </c>
      <c r="B160" s="10">
        <v>301902.34000000003</v>
      </c>
      <c r="C160" s="10">
        <v>126191.39</v>
      </c>
      <c r="D160" s="10">
        <v>428093.73</v>
      </c>
    </row>
    <row r="161" spans="1:4" x14ac:dyDescent="0.25">
      <c r="A161" s="2" t="str">
        <f>"2.1.4.02.01- Emprestimo Consignado - Bradesco"</f>
        <v>2.1.4.02.01- Emprestimo Consignado - Bradesco</v>
      </c>
      <c r="B161" s="10">
        <v>129715.32</v>
      </c>
      <c r="C161" s="10">
        <v>-1176</v>
      </c>
      <c r="D161" s="10">
        <v>128539.32</v>
      </c>
    </row>
    <row r="162" spans="1:4" x14ac:dyDescent="0.25">
      <c r="A162" s="2" t="str">
        <f>"2.1.4.02.03- Emprestimo Consignado - CEF"</f>
        <v>2.1.4.02.03- Emprestimo Consignado - CEF</v>
      </c>
      <c r="B162" s="10">
        <v>26377.15</v>
      </c>
      <c r="C162" s="10">
        <v>-722.48</v>
      </c>
      <c r="D162" s="10">
        <v>25654.67</v>
      </c>
    </row>
    <row r="163" spans="1:4" x14ac:dyDescent="0.25">
      <c r="A163" s="2" t="str">
        <f>"2.1.4.02.04- Emprestimo Consignado - B.Brasil"</f>
        <v>2.1.4.02.04- Emprestimo Consignado - B.Brasil</v>
      </c>
      <c r="B163" s="10">
        <v>50365.43</v>
      </c>
      <c r="C163" s="10">
        <v>-4247.3500000000004</v>
      </c>
      <c r="D163" s="10">
        <v>46118.080000000002</v>
      </c>
    </row>
    <row r="164" spans="1:4" x14ac:dyDescent="0.25">
      <c r="A164" s="2" t="str">
        <f>"2.1.4.02.05- Emprestimo Consignado-Banco Alfa"</f>
        <v>2.1.4.02.05- Emprestimo Consignado-Banco Alfa</v>
      </c>
      <c r="B164" s="10">
        <v>57368.63</v>
      </c>
      <c r="C164" s="10">
        <v>-1612.41</v>
      </c>
      <c r="D164" s="10">
        <v>55756.22</v>
      </c>
    </row>
    <row r="165" spans="1:4" x14ac:dyDescent="0.25">
      <c r="A165" s="2" t="str">
        <f>"2.1.4.02.07- Emprestimo Consignado - B. Safra"</f>
        <v>2.1.4.02.07- Emprestimo Consignado - B. Safra</v>
      </c>
      <c r="B165" s="10">
        <v>15732.65</v>
      </c>
      <c r="C165" s="10">
        <v>-1540</v>
      </c>
      <c r="D165" s="10">
        <v>14192.65</v>
      </c>
    </row>
    <row r="166" spans="1:4" x14ac:dyDescent="0.25">
      <c r="A166" s="2" t="str">
        <f>"2.1.4.02.09- Emprestimo Consignado - BMC"</f>
        <v>2.1.4.02.09- Emprestimo Consignado - BMC</v>
      </c>
      <c r="B166" s="10">
        <v>307.8</v>
      </c>
      <c r="C166" s="10">
        <v>0</v>
      </c>
      <c r="D166" s="10">
        <v>307.8</v>
      </c>
    </row>
    <row r="167" spans="1:4" x14ac:dyDescent="0.25">
      <c r="A167" s="2" t="str">
        <f>"2.1.4.02.10- Cartão - BMG Card"</f>
        <v>2.1.4.02.10- Cartão - BMG Card</v>
      </c>
      <c r="B167" s="10">
        <v>9953.66</v>
      </c>
      <c r="C167" s="10">
        <v>-47.05</v>
      </c>
      <c r="D167" s="10">
        <v>9906.61</v>
      </c>
    </row>
    <row r="168" spans="1:4" x14ac:dyDescent="0.25">
      <c r="A168" s="2" t="str">
        <f>"2.1.4.02.12- Custas judiciais"</f>
        <v>2.1.4.02.12- Custas judiciais</v>
      </c>
      <c r="B168" s="10">
        <v>1092.26</v>
      </c>
      <c r="C168" s="10">
        <v>-1092.26</v>
      </c>
      <c r="D168" s="10">
        <v>0</v>
      </c>
    </row>
    <row r="169" spans="1:4" x14ac:dyDescent="0.25">
      <c r="A169" s="2" t="str">
        <f>"2.1.4.02.99- Contas a Pagar"</f>
        <v>2.1.4.02.99- Contas a Pagar</v>
      </c>
      <c r="B169" s="10">
        <v>10989.44</v>
      </c>
      <c r="C169" s="10">
        <v>136628.94</v>
      </c>
      <c r="D169" s="10">
        <v>147618.38</v>
      </c>
    </row>
    <row r="170" spans="1:4" x14ac:dyDescent="0.25">
      <c r="A170" s="2" t="str">
        <f>"2.1.4.03.00- CREDORES DIVERSOS"</f>
        <v>2.1.4.03.00- CREDORES DIVERSOS</v>
      </c>
      <c r="B170" s="10">
        <v>43317751.649999999</v>
      </c>
      <c r="C170" s="10">
        <v>1423349.63</v>
      </c>
      <c r="D170" s="10">
        <v>44741101.280000001</v>
      </c>
    </row>
    <row r="171" spans="1:4" x14ac:dyDescent="0.25">
      <c r="A171" s="2" t="str">
        <f>"2.1.4.03.07- Adiantamento Acionista - Municipio BH"</f>
        <v>2.1.4.03.07- Adiantamento Acionista - Municipio BH</v>
      </c>
      <c r="B171" s="10">
        <v>42323743.619999997</v>
      </c>
      <c r="C171" s="10">
        <v>1274914.8500000001</v>
      </c>
      <c r="D171" s="10">
        <v>43598658.469999999</v>
      </c>
    </row>
    <row r="172" spans="1:4" x14ac:dyDescent="0.25">
      <c r="A172" s="2" t="str">
        <f>"2.1.4.03.17- Adiantamento de Clientes"</f>
        <v>2.1.4.03.17- Adiantamento de Clientes</v>
      </c>
      <c r="B172" s="10">
        <v>994008.03</v>
      </c>
      <c r="C172" s="10">
        <v>148434.78</v>
      </c>
      <c r="D172" s="10">
        <v>1142442.81</v>
      </c>
    </row>
    <row r="173" spans="1:4" x14ac:dyDescent="0.25">
      <c r="A173" s="2" t="str">
        <f>"2.1.4.04.00- CAUCAO DE TERCEIROS/LEILAO"</f>
        <v>2.1.4.04.00- CAUCAO DE TERCEIROS/LEILAO</v>
      </c>
      <c r="B173" s="10">
        <v>874612.48</v>
      </c>
      <c r="C173" s="10">
        <v>198</v>
      </c>
      <c r="D173" s="10">
        <v>874810.48</v>
      </c>
    </row>
    <row r="174" spans="1:4" x14ac:dyDescent="0.25">
      <c r="A174" s="2" t="str">
        <f>"2.1.4.04.98- Leilões"</f>
        <v>2.1.4.04.98- Leilões</v>
      </c>
      <c r="B174" s="10">
        <v>554174.49</v>
      </c>
      <c r="C174" s="10">
        <v>0</v>
      </c>
      <c r="D174" s="10">
        <v>554174.49</v>
      </c>
    </row>
    <row r="175" spans="1:4" x14ac:dyDescent="0.25">
      <c r="A175" s="2" t="str">
        <f>"2.1.4.04.99- Caucao de Terceiros"</f>
        <v>2.1.4.04.99- Caucao de Terceiros</v>
      </c>
      <c r="B175" s="10">
        <v>320437.99</v>
      </c>
      <c r="C175" s="10">
        <v>198</v>
      </c>
      <c r="D175" s="10">
        <v>320635.99</v>
      </c>
    </row>
    <row r="176" spans="1:4" x14ac:dyDescent="0.25">
      <c r="A176" s="2" t="str">
        <f>"2.1.6.00.00- OBRIGACOES VINC. A PAGAR-PAMEH"</f>
        <v>2.1.6.00.00- OBRIGACOES VINC. A PAGAR-PAMEH</v>
      </c>
      <c r="B176" s="10">
        <v>47253.72</v>
      </c>
      <c r="C176" s="10">
        <v>506.53</v>
      </c>
      <c r="D176" s="10">
        <v>47760.25</v>
      </c>
    </row>
    <row r="177" spans="1:4" x14ac:dyDescent="0.25">
      <c r="A177" s="2" t="str">
        <f>"2.1.6.01.00- OBRIGACOES VINC. -PAMEH"</f>
        <v>2.1.6.01.00- OBRIGACOES VINC. -PAMEH</v>
      </c>
      <c r="B177" s="10">
        <v>47253.72</v>
      </c>
      <c r="C177" s="10">
        <v>506.53</v>
      </c>
      <c r="D177" s="10">
        <v>47760.25</v>
      </c>
    </row>
    <row r="178" spans="1:4" x14ac:dyDescent="0.25">
      <c r="A178" s="2" t="str">
        <f>"2.1.6.01.01- Obrigacoes Vinculadas - PAMEH"</f>
        <v>2.1.6.01.01- Obrigacoes Vinculadas - PAMEH</v>
      </c>
      <c r="B178" s="10">
        <v>47253.72</v>
      </c>
      <c r="C178" s="10">
        <v>506.53</v>
      </c>
      <c r="D178" s="10">
        <v>47760.25</v>
      </c>
    </row>
    <row r="179" spans="1:4" x14ac:dyDescent="0.25">
      <c r="A179" s="2" t="str">
        <f>"2.2.0.00.00- PASSIVO NAO CIRCULANTE"</f>
        <v>2.2.0.00.00- PASSIVO NAO CIRCULANTE</v>
      </c>
      <c r="B179" s="10">
        <v>47897547.18</v>
      </c>
      <c r="C179" s="10">
        <v>-130608.96000000001</v>
      </c>
      <c r="D179" s="10">
        <v>47766938.219999999</v>
      </c>
    </row>
    <row r="180" spans="1:4" x14ac:dyDescent="0.25">
      <c r="A180" s="2" t="str">
        <f>"2.2.4.00.00- OUTRAS OBRIGACOES A LONGO PRAZO"</f>
        <v>2.2.4.00.00- OUTRAS OBRIGACOES A LONGO PRAZO</v>
      </c>
      <c r="B180" s="10">
        <v>44591704.700000003</v>
      </c>
      <c r="C180" s="10">
        <v>0</v>
      </c>
      <c r="D180" s="10">
        <v>44591704.700000003</v>
      </c>
    </row>
    <row r="181" spans="1:4" x14ac:dyDescent="0.25">
      <c r="A181" s="2" t="str">
        <f>"2.2.4.01.00- CREDORES DIVERSOS"</f>
        <v>2.2.4.01.00- CREDORES DIVERSOS</v>
      </c>
      <c r="B181" s="10">
        <v>10868557.66</v>
      </c>
      <c r="C181" s="10">
        <v>0</v>
      </c>
      <c r="D181" s="10">
        <v>10868557.66</v>
      </c>
    </row>
    <row r="182" spans="1:4" x14ac:dyDescent="0.25">
      <c r="A182" s="2" t="str">
        <f>"2.2.4.01.04- Provisão para Contingências Fiscais"</f>
        <v>2.2.4.01.04- Provisão para Contingências Fiscais</v>
      </c>
      <c r="B182" s="10">
        <v>9926702.7200000007</v>
      </c>
      <c r="C182" s="10">
        <v>0</v>
      </c>
      <c r="D182" s="10">
        <v>9926702.7200000007</v>
      </c>
    </row>
    <row r="183" spans="1:4" x14ac:dyDescent="0.25">
      <c r="A183" s="2" t="str">
        <f>"2.2.4.01.05- INSS Segurados"</f>
        <v>2.2.4.01.05- INSS Segurados</v>
      </c>
      <c r="B183" s="10">
        <v>941854.94</v>
      </c>
      <c r="C183" s="10">
        <v>0</v>
      </c>
      <c r="D183" s="10">
        <v>941854.94</v>
      </c>
    </row>
    <row r="184" spans="1:4" x14ac:dyDescent="0.25">
      <c r="A184" s="2" t="str">
        <f>"2.2.4.04.00- ACOES JUDICIAIS E TRABALHISTAS"</f>
        <v>2.2.4.04.00- ACOES JUDICIAIS E TRABALHISTAS</v>
      </c>
      <c r="B184" s="10">
        <v>33723147.039999999</v>
      </c>
      <c r="C184" s="10">
        <v>0</v>
      </c>
      <c r="D184" s="10">
        <v>33723147.039999999</v>
      </c>
    </row>
    <row r="185" spans="1:4" x14ac:dyDescent="0.25">
      <c r="A185" s="2" t="str">
        <f>"2.2.4.04.01- Acoes judiciais"</f>
        <v>2.2.4.04.01- Acoes judiciais</v>
      </c>
      <c r="B185" s="10">
        <v>16494009.210000001</v>
      </c>
      <c r="C185" s="10">
        <v>0</v>
      </c>
      <c r="D185" s="10">
        <v>16494009.210000001</v>
      </c>
    </row>
    <row r="186" spans="1:4" x14ac:dyDescent="0.25">
      <c r="A186" s="2" t="str">
        <f>"2.2.4.04.02- Acoes trabalhistas"</f>
        <v>2.2.4.04.02- Acoes trabalhistas</v>
      </c>
      <c r="B186" s="10">
        <v>17229137.829999998</v>
      </c>
      <c r="C186" s="10">
        <v>0</v>
      </c>
      <c r="D186" s="10">
        <v>17229137.829999998</v>
      </c>
    </row>
    <row r="187" spans="1:4" x14ac:dyDescent="0.25">
      <c r="A187" s="2" t="str">
        <f>"2.2.5.00.00- OBRIGACOES VINC.  AO PAMEH"</f>
        <v>2.2.5.00.00- OBRIGACOES VINC.  AO PAMEH</v>
      </c>
      <c r="B187" s="10">
        <v>3305842.48</v>
      </c>
      <c r="C187" s="10">
        <v>-130608.96000000001</v>
      </c>
      <c r="D187" s="10">
        <v>3175233.52</v>
      </c>
    </row>
    <row r="188" spans="1:4" x14ac:dyDescent="0.25">
      <c r="A188" s="2" t="str">
        <f>"2.2.5.01.00- OBRIGACOES VINC.  AO PAMEH"</f>
        <v>2.2.5.01.00- OBRIGACOES VINC.  AO PAMEH</v>
      </c>
      <c r="B188" s="10">
        <v>3305842.48</v>
      </c>
      <c r="C188" s="10">
        <v>-130608.96000000001</v>
      </c>
      <c r="D188" s="10">
        <v>3175233.52</v>
      </c>
    </row>
    <row r="189" spans="1:4" x14ac:dyDescent="0.25">
      <c r="A189" s="2" t="str">
        <f>"2.2.5.01.01- Resultado Exerc.Anteriores-PAMEH"</f>
        <v>2.2.5.01.01- Resultado Exerc.Anteriores-PAMEH</v>
      </c>
      <c r="B189" s="10">
        <v>3478307.51</v>
      </c>
      <c r="C189" s="10">
        <v>0</v>
      </c>
      <c r="D189" s="10">
        <v>3478307.51</v>
      </c>
    </row>
    <row r="190" spans="1:4" x14ac:dyDescent="0.25">
      <c r="A190" s="2" t="str">
        <f>"2.2.5.01.02- Resultado deste Exercicio-PAMEH"</f>
        <v>2.2.5.01.02- Resultado deste Exercicio-PAMEH</v>
      </c>
      <c r="B190" s="10">
        <v>-172465.03</v>
      </c>
      <c r="C190" s="10">
        <v>-130608.96000000001</v>
      </c>
      <c r="D190" s="10">
        <v>-303073.99</v>
      </c>
    </row>
    <row r="191" spans="1:4" x14ac:dyDescent="0.25">
      <c r="A191" s="2" t="str">
        <f>"2.4.0.00.00- PATRIMONIO LIQUIDO"</f>
        <v>2.4.0.00.00- PATRIMONIO LIQUIDO</v>
      </c>
      <c r="B191" s="10">
        <v>-76736674.890000001</v>
      </c>
      <c r="C191" s="10">
        <v>0</v>
      </c>
      <c r="D191" s="10">
        <v>-76736674.890000001</v>
      </c>
    </row>
    <row r="192" spans="1:4" x14ac:dyDescent="0.25">
      <c r="A192" s="2" t="str">
        <f>"2.4.1.00.00- CAPITAL SOCIAL"</f>
        <v>2.4.1.00.00- CAPITAL SOCIAL</v>
      </c>
      <c r="B192" s="10">
        <v>67418193.159999996</v>
      </c>
      <c r="C192" s="10">
        <v>0</v>
      </c>
      <c r="D192" s="10">
        <v>67418193.159999996</v>
      </c>
    </row>
    <row r="193" spans="1:4" x14ac:dyDescent="0.25">
      <c r="A193" s="2" t="str">
        <f>"2.4.1.02.00- CAPITAL REALIZADO"</f>
        <v>2.4.1.02.00- CAPITAL REALIZADO</v>
      </c>
      <c r="B193" s="10">
        <v>67418193.159999996</v>
      </c>
      <c r="C193" s="10">
        <v>0</v>
      </c>
      <c r="D193" s="10">
        <v>67418193.159999996</v>
      </c>
    </row>
    <row r="194" spans="1:4" x14ac:dyDescent="0.25">
      <c r="A194" s="2" t="str">
        <f>"2.4.1.02.01- Capital Subscrito"</f>
        <v>2.4.1.02.01- Capital Subscrito</v>
      </c>
      <c r="B194" s="10">
        <v>75000000</v>
      </c>
      <c r="C194" s="10">
        <v>0</v>
      </c>
      <c r="D194" s="10">
        <v>75000000</v>
      </c>
    </row>
    <row r="195" spans="1:4" x14ac:dyDescent="0.25">
      <c r="A195" s="2" t="str">
        <f>"2.4.1.02.04- Capital a Realizar"</f>
        <v>2.4.1.02.04- Capital a Realizar</v>
      </c>
      <c r="B195" s="10">
        <v>-7581806.8399999999</v>
      </c>
      <c r="C195" s="10">
        <v>0</v>
      </c>
      <c r="D195" s="10">
        <v>-7581806.8399999999</v>
      </c>
    </row>
    <row r="196" spans="1:4" x14ac:dyDescent="0.25">
      <c r="A196" s="2" t="str">
        <f>"2.4.3.00.00- RESULTADOS ACUMULADOS"</f>
        <v>2.4.3.00.00- RESULTADOS ACUMULADOS</v>
      </c>
      <c r="B196" s="10">
        <v>-144154868.05000001</v>
      </c>
      <c r="C196" s="10">
        <v>0</v>
      </c>
      <c r="D196" s="10">
        <v>-144154868.05000001</v>
      </c>
    </row>
    <row r="197" spans="1:4" x14ac:dyDescent="0.25">
      <c r="A197" s="2" t="str">
        <f>"2.4.3.01.00- LUCROS/PREJUIZOS ACUMULADOS"</f>
        <v>2.4.3.01.00- LUCROS/PREJUIZOS ACUMULADOS</v>
      </c>
      <c r="B197" s="10">
        <v>-144154868.05000001</v>
      </c>
      <c r="C197" s="10">
        <v>0</v>
      </c>
      <c r="D197" s="10">
        <v>-144154868.05000001</v>
      </c>
    </row>
    <row r="198" spans="1:4" x14ac:dyDescent="0.25">
      <c r="A198" s="2" t="str">
        <f>"2.4.3.01.01- Resultados de Exerc. Anteriores"</f>
        <v>2.4.3.01.01- Resultados de Exerc. Anteriores</v>
      </c>
      <c r="B198" s="10">
        <v>-144079394.25</v>
      </c>
      <c r="C198" s="10">
        <v>0</v>
      </c>
      <c r="D198" s="10">
        <v>-144079394.25</v>
      </c>
    </row>
    <row r="199" spans="1:4" x14ac:dyDescent="0.25">
      <c r="A199" s="2" t="str">
        <f>"2.4.3.01.03- Ajuste do Exercicio Anterior"</f>
        <v>2.4.3.01.03- Ajuste do Exercicio Anterior</v>
      </c>
      <c r="B199" s="10">
        <v>-75473.8</v>
      </c>
      <c r="C199" s="10">
        <v>0</v>
      </c>
      <c r="D199" s="10">
        <v>-75473.8</v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""</f>
        <v/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""</f>
        <v/>
      </c>
      <c r="B205" s="3" t="str">
        <f>""</f>
        <v/>
      </c>
      <c r="C205" s="3" t="str">
        <f>""</f>
        <v/>
      </c>
      <c r="D205" s="3" t="str">
        <f>""</f>
        <v/>
      </c>
    </row>
    <row r="206" spans="1:4" x14ac:dyDescent="0.25">
      <c r="A206" s="2" t="str">
        <f>""</f>
        <v/>
      </c>
      <c r="B206" s="3" t="str">
        <f>""</f>
        <v/>
      </c>
      <c r="C206" s="3" t="str">
        <f>""</f>
        <v/>
      </c>
      <c r="D206" s="3" t="str">
        <f>""</f>
        <v/>
      </c>
    </row>
    <row r="207" spans="1:4" x14ac:dyDescent="0.25">
      <c r="A207" s="2" t="str">
        <f>"DESPESAS"</f>
        <v>DESPESAS</v>
      </c>
      <c r="B207" s="3" t="str">
        <f>""</f>
        <v/>
      </c>
      <c r="C207" s="3" t="str">
        <f>""</f>
        <v/>
      </c>
      <c r="D207" s="3" t="str">
        <f>""</f>
        <v/>
      </c>
    </row>
    <row r="208" spans="1:4" x14ac:dyDescent="0.25">
      <c r="A208" s="2" t="str">
        <f>"3.0.0.00.00- DESPESAS"</f>
        <v>3.0.0.00.00- DESPESAS</v>
      </c>
      <c r="B208" s="10">
        <v>53295922</v>
      </c>
      <c r="C208" s="10">
        <v>14699921.060000001</v>
      </c>
      <c r="D208" s="10">
        <v>67995843.060000002</v>
      </c>
    </row>
    <row r="209" spans="1:4" x14ac:dyDescent="0.25">
      <c r="A209" s="2" t="str">
        <f>"3.1.0.00.00- DESPESAS OPERACIONAIS"</f>
        <v>3.1.0.00.00- DESPESAS OPERACIONAIS</v>
      </c>
      <c r="B209" s="10">
        <v>53295922</v>
      </c>
      <c r="C209" s="10">
        <v>14699921.060000001</v>
      </c>
      <c r="D209" s="10">
        <v>67995843.060000002</v>
      </c>
    </row>
    <row r="210" spans="1:4" x14ac:dyDescent="0.25">
      <c r="A210" s="2" t="str">
        <f>"3.1.1.00.00- SALARIOS ADICIONAIS E HONORARIOS"</f>
        <v>3.1.1.00.00- SALARIOS ADICIONAIS E HONORARIOS</v>
      </c>
      <c r="B210" s="10">
        <v>27920893.140000001</v>
      </c>
      <c r="C210" s="10">
        <v>7054181.8499999996</v>
      </c>
      <c r="D210" s="10">
        <v>34975074.990000002</v>
      </c>
    </row>
    <row r="211" spans="1:4" x14ac:dyDescent="0.25">
      <c r="A211" s="2" t="str">
        <f>"3.1.1.00.01- Honorarios diretoria"</f>
        <v>3.1.1.00.01- Honorarios diretoria</v>
      </c>
      <c r="B211" s="10">
        <v>365026.13</v>
      </c>
      <c r="C211" s="10">
        <v>104521.83</v>
      </c>
      <c r="D211" s="10">
        <v>469547.96</v>
      </c>
    </row>
    <row r="212" spans="1:4" x14ac:dyDescent="0.25">
      <c r="A212" s="2" t="str">
        <f>"3.1.1.00.02- Honorarios conselho fiscal"</f>
        <v>3.1.1.00.02- Honorarios conselho fiscal</v>
      </c>
      <c r="B212" s="10">
        <v>21246</v>
      </c>
      <c r="C212" s="10">
        <v>5311.5</v>
      </c>
      <c r="D212" s="10">
        <v>26557.5</v>
      </c>
    </row>
    <row r="213" spans="1:4" x14ac:dyDescent="0.25">
      <c r="A213" s="2" t="str">
        <f>"3.1.1.00.03- Honorarios cons. administracao"</f>
        <v>3.1.1.00.03- Honorarios cons. administracao</v>
      </c>
      <c r="B213" s="10">
        <v>38570.089999999997</v>
      </c>
      <c r="C213" s="10">
        <v>10613.71</v>
      </c>
      <c r="D213" s="10">
        <v>49183.8</v>
      </c>
    </row>
    <row r="214" spans="1:4" x14ac:dyDescent="0.25">
      <c r="A214" s="2" t="str">
        <f>"3.1.1.00.04- Salarios e adicionais"</f>
        <v>3.1.1.00.04- Salarios e adicionais</v>
      </c>
      <c r="B214" s="10">
        <v>22502510.68</v>
      </c>
      <c r="C214" s="10">
        <v>5764970.25</v>
      </c>
      <c r="D214" s="10">
        <v>28267480.93</v>
      </c>
    </row>
    <row r="215" spans="1:4" x14ac:dyDescent="0.25">
      <c r="A215" s="2" t="str">
        <f>"3.1.1.00.05- Ferias e abono pecuniario"</f>
        <v>3.1.1.00.05- Ferias e abono pecuniario</v>
      </c>
      <c r="B215" s="10">
        <v>2990809.81</v>
      </c>
      <c r="C215" s="10">
        <v>676223.49</v>
      </c>
      <c r="D215" s="10">
        <v>3667033.3</v>
      </c>
    </row>
    <row r="216" spans="1:4" x14ac:dyDescent="0.25">
      <c r="A216" s="2" t="str">
        <f>"3.1.1.00.06- Decimo terceiro salario"</f>
        <v>3.1.1.00.06- Decimo terceiro salario</v>
      </c>
      <c r="B216" s="10">
        <v>1938279.79</v>
      </c>
      <c r="C216" s="10">
        <v>473823.04</v>
      </c>
      <c r="D216" s="10">
        <v>2412102.83</v>
      </c>
    </row>
    <row r="217" spans="1:4" x14ac:dyDescent="0.25">
      <c r="A217" s="2" t="str">
        <f>"3.1.1.00.07- Indenizacoes trabalhistas"</f>
        <v>3.1.1.00.07- Indenizacoes trabalhistas</v>
      </c>
      <c r="B217" s="10">
        <v>14172.3</v>
      </c>
      <c r="C217" s="10">
        <v>2289.37</v>
      </c>
      <c r="D217" s="10">
        <v>16461.669999999998</v>
      </c>
    </row>
    <row r="218" spans="1:4" x14ac:dyDescent="0.25">
      <c r="A218" s="2" t="str">
        <f>"3.1.1.00.08- Bolsas de estagiario"</f>
        <v>3.1.1.00.08- Bolsas de estagiario</v>
      </c>
      <c r="B218" s="10">
        <v>50278.34</v>
      </c>
      <c r="C218" s="10">
        <v>16428.66</v>
      </c>
      <c r="D218" s="10">
        <v>66707</v>
      </c>
    </row>
    <row r="219" spans="1:4" x14ac:dyDescent="0.25">
      <c r="A219" s="2" t="str">
        <f>"3.1.2.01.00- ENCARGOS SOCIAIS"</f>
        <v>3.1.2.01.00- ENCARGOS SOCIAIS</v>
      </c>
      <c r="B219" s="10">
        <v>9937316.1699999999</v>
      </c>
      <c r="C219" s="10">
        <v>2561295.94</v>
      </c>
      <c r="D219" s="10">
        <v>12498612.109999999</v>
      </c>
    </row>
    <row r="220" spans="1:4" x14ac:dyDescent="0.25">
      <c r="A220" s="2" t="str">
        <f>"3.1.2.01.01- INSS"</f>
        <v>3.1.2.01.01- INSS</v>
      </c>
      <c r="B220" s="10">
        <v>7713148.8799999999</v>
      </c>
      <c r="C220" s="10">
        <v>2003487.74</v>
      </c>
      <c r="D220" s="10">
        <v>9716636.6199999992</v>
      </c>
    </row>
    <row r="221" spans="1:4" x14ac:dyDescent="0.25">
      <c r="A221" s="2" t="str">
        <f>"3.1.2.01.02- FGTS"</f>
        <v>3.1.2.01.02- FGTS</v>
      </c>
      <c r="B221" s="10">
        <v>2224167.29</v>
      </c>
      <c r="C221" s="10">
        <v>557808.19999999995</v>
      </c>
      <c r="D221" s="10">
        <v>2781975.49</v>
      </c>
    </row>
    <row r="222" spans="1:4" x14ac:dyDescent="0.25">
      <c r="A222" s="2" t="str">
        <f>"3.1.2.02.00- OUTRAS DESPESAS COM PESSOAL"</f>
        <v>3.1.2.02.00- OUTRAS DESPESAS COM PESSOAL</v>
      </c>
      <c r="B222" s="10">
        <v>4921435.49</v>
      </c>
      <c r="C222" s="10">
        <v>1375280.89</v>
      </c>
      <c r="D222" s="10">
        <v>6296716.3799999999</v>
      </c>
    </row>
    <row r="223" spans="1:4" x14ac:dyDescent="0.25">
      <c r="A223" s="2" t="str">
        <f>"3.1.2.02.01- Seguros de Vida"</f>
        <v>3.1.2.02.01- Seguros de Vida</v>
      </c>
      <c r="B223" s="10">
        <v>42019.06</v>
      </c>
      <c r="C223" s="10">
        <v>7012.64</v>
      </c>
      <c r="D223" s="10">
        <v>49031.7</v>
      </c>
    </row>
    <row r="224" spans="1:4" x14ac:dyDescent="0.25">
      <c r="A224" s="2" t="str">
        <f>"3.1.2.02.02- Ass. Medica Odontologica"</f>
        <v>3.1.2.02.02- Ass. Medica Odontologica</v>
      </c>
      <c r="B224" s="10">
        <v>1233009.67</v>
      </c>
      <c r="C224" s="10">
        <v>413859.75</v>
      </c>
      <c r="D224" s="10">
        <v>1646869.42</v>
      </c>
    </row>
    <row r="225" spans="1:4" x14ac:dyDescent="0.25">
      <c r="A225" s="2" t="str">
        <f>"3.1.2.02.03- Vale Transporte"</f>
        <v>3.1.2.02.03- Vale Transporte</v>
      </c>
      <c r="B225" s="10">
        <v>297289.59000000003</v>
      </c>
      <c r="C225" s="10">
        <v>101069.88</v>
      </c>
      <c r="D225" s="10">
        <v>398359.47</v>
      </c>
    </row>
    <row r="226" spans="1:4" x14ac:dyDescent="0.25">
      <c r="A226" s="2" t="str">
        <f>"3.1.2.02.04- Vale Refeicao/Alimentacao"</f>
        <v>3.1.2.02.04- Vale Refeicao/Alimentacao</v>
      </c>
      <c r="B226" s="10">
        <v>3210657.64</v>
      </c>
      <c r="C226" s="10">
        <v>800822.86</v>
      </c>
      <c r="D226" s="10">
        <v>4011480.5</v>
      </c>
    </row>
    <row r="227" spans="1:4" x14ac:dyDescent="0.25">
      <c r="A227" s="2" t="str">
        <f>"3.1.2.02.05- Compl. Auxilio Doenca"</f>
        <v>3.1.2.02.05- Compl. Auxilio Doenca</v>
      </c>
      <c r="B227" s="10">
        <v>34703.22</v>
      </c>
      <c r="C227" s="10">
        <v>16112.24</v>
      </c>
      <c r="D227" s="10">
        <v>50815.46</v>
      </c>
    </row>
    <row r="228" spans="1:4" x14ac:dyDescent="0.25">
      <c r="A228" s="2" t="str">
        <f>"3.1.2.02.06- Cursos e Treinamentos"</f>
        <v>3.1.2.02.06- Cursos e Treinamentos</v>
      </c>
      <c r="B228" s="10">
        <v>18960</v>
      </c>
      <c r="C228" s="10">
        <v>12047.43</v>
      </c>
      <c r="D228" s="10">
        <v>31007.43</v>
      </c>
    </row>
    <row r="229" spans="1:4" x14ac:dyDescent="0.25">
      <c r="A229" s="2" t="str">
        <f>"3.1.2.02.07- Auxilio Creche"</f>
        <v>3.1.2.02.07- Auxilio Creche</v>
      </c>
      <c r="B229" s="10">
        <v>84796.31</v>
      </c>
      <c r="C229" s="10">
        <v>24356.09</v>
      </c>
      <c r="D229" s="10">
        <v>109152.4</v>
      </c>
    </row>
    <row r="230" spans="1:4" x14ac:dyDescent="0.25">
      <c r="A230" s="2" t="str">
        <f>"3.1.3.00.00- MATERIAIS"</f>
        <v>3.1.3.00.00- MATERIAIS</v>
      </c>
      <c r="B230" s="10">
        <v>320896.64000000001</v>
      </c>
      <c r="C230" s="10">
        <v>82132.97</v>
      </c>
      <c r="D230" s="10">
        <v>403029.61</v>
      </c>
    </row>
    <row r="231" spans="1:4" x14ac:dyDescent="0.25">
      <c r="A231" s="2" t="str">
        <f>"3.1.3.00.01- Bens de natureza permanente"</f>
        <v>3.1.3.00.01- Bens de natureza permanente</v>
      </c>
      <c r="B231" s="10">
        <v>4880.58</v>
      </c>
      <c r="C231" s="10">
        <v>0</v>
      </c>
      <c r="D231" s="10">
        <v>4880.58</v>
      </c>
    </row>
    <row r="232" spans="1:4" x14ac:dyDescent="0.25">
      <c r="A232" s="2" t="str">
        <f>"3.1.3.00.02- Lampadas e transformadores"</f>
        <v>3.1.3.00.02- Lampadas e transformadores</v>
      </c>
      <c r="B232" s="10">
        <v>0</v>
      </c>
      <c r="C232" s="10">
        <v>8374</v>
      </c>
      <c r="D232" s="10">
        <v>8374</v>
      </c>
    </row>
    <row r="233" spans="1:4" x14ac:dyDescent="0.25">
      <c r="A233" s="2" t="str">
        <f>"3.1.3.00.05- Placas/acessorios/mat.fixacao"</f>
        <v>3.1.3.00.05- Placas/acessorios/mat.fixacao</v>
      </c>
      <c r="B233" s="10">
        <v>605</v>
      </c>
      <c r="C233" s="10">
        <v>0</v>
      </c>
      <c r="D233" s="10">
        <v>605</v>
      </c>
    </row>
    <row r="234" spans="1:4" x14ac:dyDescent="0.25">
      <c r="A234" s="2" t="str">
        <f>"3.1.3.00.08- Material seguranca e uniformes"</f>
        <v>3.1.3.00.08- Material seguranca e uniformes</v>
      </c>
      <c r="B234" s="10">
        <v>2451.36</v>
      </c>
      <c r="C234" s="10">
        <v>422.28</v>
      </c>
      <c r="D234" s="10">
        <v>2873.64</v>
      </c>
    </row>
    <row r="235" spans="1:4" x14ac:dyDescent="0.25">
      <c r="A235" s="2" t="str">
        <f>"3.1.3.00.09- Material limp/conserv/copa/cozin"</f>
        <v>3.1.3.00.09- Material limp/conserv/copa/cozin</v>
      </c>
      <c r="B235" s="10">
        <v>42914.02</v>
      </c>
      <c r="C235" s="10">
        <v>19511.57</v>
      </c>
      <c r="D235" s="10">
        <v>62425.59</v>
      </c>
    </row>
    <row r="236" spans="1:4" x14ac:dyDescent="0.25">
      <c r="A236" s="2" t="str">
        <f>"3.1.3.00.10- Impressos e material de escritorio"</f>
        <v>3.1.3.00.10- Impressos e material de escritorio</v>
      </c>
      <c r="B236" s="10">
        <v>44576.93</v>
      </c>
      <c r="C236" s="10">
        <v>9971.31</v>
      </c>
      <c r="D236" s="10">
        <v>54548.24</v>
      </c>
    </row>
    <row r="237" spans="1:4" x14ac:dyDescent="0.25">
      <c r="A237" s="2" t="str">
        <f>"3.1.3.00.11- Materiais manut. inst. prediais"</f>
        <v>3.1.3.00.11- Materiais manut. inst. prediais</v>
      </c>
      <c r="B237" s="10">
        <v>82521.88</v>
      </c>
      <c r="C237" s="10">
        <v>19761.61</v>
      </c>
      <c r="D237" s="10">
        <v>102283.49</v>
      </c>
    </row>
    <row r="238" spans="1:4" x14ac:dyDescent="0.25">
      <c r="A238" s="2" t="str">
        <f>"3.1.3.00.12- Carnes estacionamento rotativo"</f>
        <v>3.1.3.00.12- Carnes estacionamento rotativo</v>
      </c>
      <c r="B238" s="10">
        <v>126400.62</v>
      </c>
      <c r="C238" s="10">
        <v>22319.02</v>
      </c>
      <c r="D238" s="10">
        <v>148719.64000000001</v>
      </c>
    </row>
    <row r="239" spans="1:4" x14ac:dyDescent="0.25">
      <c r="A239" s="2" t="str">
        <f>"3.1.3.00.15- Materiais e supriment informatic"</f>
        <v>3.1.3.00.15- Materiais e supriment informatic</v>
      </c>
      <c r="B239" s="10">
        <v>15581.25</v>
      </c>
      <c r="C239" s="10">
        <v>1773.18</v>
      </c>
      <c r="D239" s="10">
        <v>17354.43</v>
      </c>
    </row>
    <row r="240" spans="1:4" x14ac:dyDescent="0.25">
      <c r="A240" s="2" t="str">
        <f>"3.1.3.00.99- Outros materiais"</f>
        <v>3.1.3.00.99- Outros materiais</v>
      </c>
      <c r="B240" s="10">
        <v>965</v>
      </c>
      <c r="C240" s="10">
        <v>0</v>
      </c>
      <c r="D240" s="10">
        <v>965</v>
      </c>
    </row>
    <row r="241" spans="1:4" x14ac:dyDescent="0.25">
      <c r="A241" s="2" t="str">
        <f>"3.1.4.00.00- SERVICOS PRESTADOS POR TERCEIROS"</f>
        <v>3.1.4.00.00- SERVICOS PRESTADOS POR TERCEIROS</v>
      </c>
      <c r="B241" s="10">
        <v>6693401.9800000004</v>
      </c>
      <c r="C241" s="10">
        <v>3172202.64</v>
      </c>
      <c r="D241" s="10">
        <v>9865604.6199999992</v>
      </c>
    </row>
    <row r="242" spans="1:4" x14ac:dyDescent="0.25">
      <c r="A242" s="2" t="str">
        <f>"3.1.4.00.03- Locacao de equipamentos"</f>
        <v>3.1.4.00.03- Locacao de equipamentos</v>
      </c>
      <c r="B242" s="10">
        <v>12650.4</v>
      </c>
      <c r="C242" s="10">
        <v>6325.2</v>
      </c>
      <c r="D242" s="10">
        <v>18975.599999999999</v>
      </c>
    </row>
    <row r="243" spans="1:4" x14ac:dyDescent="0.25">
      <c r="A243" s="2" t="str">
        <f>"3.1.4.00.08- Servicos de auditoria"</f>
        <v>3.1.4.00.08- Servicos de auditoria</v>
      </c>
      <c r="B243" s="10">
        <v>17449.98</v>
      </c>
      <c r="C243" s="10">
        <v>2908.33</v>
      </c>
      <c r="D243" s="10">
        <v>20358.310000000001</v>
      </c>
    </row>
    <row r="244" spans="1:4" x14ac:dyDescent="0.25">
      <c r="A244" s="2" t="str">
        <f>"3.1.4.00.10- Mao de obra contratada"</f>
        <v>3.1.4.00.10- Mao de obra contratada</v>
      </c>
      <c r="B244" s="10">
        <v>263107.74</v>
      </c>
      <c r="C244" s="10">
        <v>29241.37</v>
      </c>
      <c r="D244" s="10">
        <v>292349.11</v>
      </c>
    </row>
    <row r="245" spans="1:4" x14ac:dyDescent="0.25">
      <c r="A245" s="2" t="str">
        <f>"3.1.4.00.13- Publicidade e divulgacao"</f>
        <v>3.1.4.00.13- Publicidade e divulgacao</v>
      </c>
      <c r="B245" s="10">
        <v>57488.18</v>
      </c>
      <c r="C245" s="10">
        <v>1447.35</v>
      </c>
      <c r="D245" s="10">
        <v>58935.53</v>
      </c>
    </row>
    <row r="246" spans="1:4" x14ac:dyDescent="0.25">
      <c r="A246" s="2" t="str">
        <f>"3.1.4.00.14- Informatica-serv. e/ou locacao"</f>
        <v>3.1.4.00.14- Informatica-serv. e/ou locacao</v>
      </c>
      <c r="B246" s="10">
        <v>460706.38</v>
      </c>
      <c r="C246" s="10">
        <v>107649.27</v>
      </c>
      <c r="D246" s="10">
        <v>568355.65</v>
      </c>
    </row>
    <row r="247" spans="1:4" x14ac:dyDescent="0.25">
      <c r="A247" s="2" t="str">
        <f>"3.1.4.00.15- Outros serv. prestados - PF"</f>
        <v>3.1.4.00.15- Outros serv. prestados - PF</v>
      </c>
      <c r="B247" s="10">
        <v>31022.48</v>
      </c>
      <c r="C247" s="10">
        <v>8648.36</v>
      </c>
      <c r="D247" s="10">
        <v>39670.839999999997</v>
      </c>
    </row>
    <row r="248" spans="1:4" x14ac:dyDescent="0.25">
      <c r="A248" s="2" t="str">
        <f>"3.1.4.00.16- Outros serv. Prestados - PJ"</f>
        <v>3.1.4.00.16- Outros serv. Prestados - PJ</v>
      </c>
      <c r="B248" s="10">
        <v>90988.42</v>
      </c>
      <c r="C248" s="10">
        <v>7629.08</v>
      </c>
      <c r="D248" s="10">
        <v>98617.5</v>
      </c>
    </row>
    <row r="249" spans="1:4" x14ac:dyDescent="0.25">
      <c r="A249" s="2" t="str">
        <f>"3.1.4.00.17- Servicos postais"</f>
        <v>3.1.4.00.17- Servicos postais</v>
      </c>
      <c r="B249" s="10">
        <v>21142.94</v>
      </c>
      <c r="C249" s="10">
        <v>4801.6899999999996</v>
      </c>
      <c r="D249" s="10">
        <v>25944.63</v>
      </c>
    </row>
    <row r="250" spans="1:4" x14ac:dyDescent="0.25">
      <c r="A250" s="2" t="str">
        <f>"3.1.4.00.18- INSS s/servicos de terceiros"</f>
        <v>3.1.4.00.18- INSS s/servicos de terceiros</v>
      </c>
      <c r="B250" s="10">
        <v>9948.0499999999993</v>
      </c>
      <c r="C250" s="10">
        <v>2554.9699999999998</v>
      </c>
      <c r="D250" s="10">
        <v>12503.02</v>
      </c>
    </row>
    <row r="251" spans="1:4" x14ac:dyDescent="0.25">
      <c r="A251" s="2" t="str">
        <f>"3.1.4.00.19- Manut. imoveis/instal/equip.oper"</f>
        <v>3.1.4.00.19- Manut. imoveis/instal/equip.oper</v>
      </c>
      <c r="B251" s="10">
        <v>204618.4</v>
      </c>
      <c r="C251" s="10">
        <v>24426.21</v>
      </c>
      <c r="D251" s="10">
        <v>229044.61</v>
      </c>
    </row>
    <row r="252" spans="1:4" x14ac:dyDescent="0.25">
      <c r="A252" s="2" t="str">
        <f>"3.1.4.00.22- Consultoria tec.Operacional"</f>
        <v>3.1.4.00.22- Consultoria tec.Operacional</v>
      </c>
      <c r="B252" s="10">
        <v>2800</v>
      </c>
      <c r="C252" s="10">
        <v>0</v>
      </c>
      <c r="D252" s="10">
        <v>2800</v>
      </c>
    </row>
    <row r="253" spans="1:4" x14ac:dyDescent="0.25">
      <c r="A253" s="2" t="str">
        <f>"3.1.4.00.24- Loc.serv.mensageiro"</f>
        <v>3.1.4.00.24- Loc.serv.mensageiro</v>
      </c>
      <c r="B253" s="10">
        <v>12910</v>
      </c>
      <c r="C253" s="10">
        <v>2363.89</v>
      </c>
      <c r="D253" s="10">
        <v>15273.89</v>
      </c>
    </row>
    <row r="254" spans="1:4" x14ac:dyDescent="0.25">
      <c r="A254" s="2" t="str">
        <f>"3.1.4.00.26- Serv.limp.conserv."</f>
        <v>3.1.4.00.26- Serv.limp.conserv.</v>
      </c>
      <c r="B254" s="10">
        <v>4986678.26</v>
      </c>
      <c r="C254" s="10">
        <v>2855215.92</v>
      </c>
      <c r="D254" s="10">
        <v>7841894.1799999997</v>
      </c>
    </row>
    <row r="255" spans="1:4" x14ac:dyDescent="0.25">
      <c r="A255" s="2" t="str">
        <f>"3.1.4.00.34- Comissao s/venda rotativo"</f>
        <v>3.1.4.00.34- Comissao s/venda rotativo</v>
      </c>
      <c r="B255" s="10">
        <v>277385.39</v>
      </c>
      <c r="C255" s="10">
        <v>62981.99</v>
      </c>
      <c r="D255" s="10">
        <v>340367.38</v>
      </c>
    </row>
    <row r="256" spans="1:4" x14ac:dyDescent="0.25">
      <c r="A256" s="2" t="str">
        <f>"3.1.4.00.36- (-) Desconto ISSQN conf Lei 9145 serv. P"</f>
        <v>3.1.4.00.36- (-) Desconto ISSQN conf Lei 9145 serv. P</v>
      </c>
      <c r="B256" s="10">
        <v>-61378.26</v>
      </c>
      <c r="C256" s="10">
        <v>-74840.75</v>
      </c>
      <c r="D256" s="10">
        <v>-136219.01</v>
      </c>
    </row>
    <row r="257" spans="1:4" x14ac:dyDescent="0.25">
      <c r="A257" s="2" t="str">
        <f>"3.1.4.00.39- Convênio Guarda Municipal"</f>
        <v>3.1.4.00.39- Convênio Guarda Municipal</v>
      </c>
      <c r="B257" s="10">
        <v>305883.62</v>
      </c>
      <c r="C257" s="10">
        <v>130849.76</v>
      </c>
      <c r="D257" s="10">
        <v>436733.38</v>
      </c>
    </row>
    <row r="258" spans="1:4" x14ac:dyDescent="0.25">
      <c r="A258" s="2" t="str">
        <f>"3.1.5.00.00- TARIFAS PUBLICAS"</f>
        <v>3.1.5.00.00- TARIFAS PUBLICAS</v>
      </c>
      <c r="B258" s="10">
        <v>439932.82</v>
      </c>
      <c r="C258" s="10">
        <v>131157.29999999999</v>
      </c>
      <c r="D258" s="10">
        <v>571090.12</v>
      </c>
    </row>
    <row r="259" spans="1:4" x14ac:dyDescent="0.25">
      <c r="A259" s="2" t="str">
        <f>"3.1.5.00.02- Energia eletrica"</f>
        <v>3.1.5.00.02- Energia eletrica</v>
      </c>
      <c r="B259" s="10">
        <v>326961.33</v>
      </c>
      <c r="C259" s="10">
        <v>103613.54</v>
      </c>
      <c r="D259" s="10">
        <v>430574.87</v>
      </c>
    </row>
    <row r="260" spans="1:4" x14ac:dyDescent="0.25">
      <c r="A260" s="2" t="str">
        <f>"3.1.5.00.03- Telefone"</f>
        <v>3.1.5.00.03- Telefone</v>
      </c>
      <c r="B260" s="10">
        <v>112971.49</v>
      </c>
      <c r="C260" s="10">
        <v>27543.759999999998</v>
      </c>
      <c r="D260" s="10">
        <v>140515.25</v>
      </c>
    </row>
    <row r="261" spans="1:4" x14ac:dyDescent="0.25">
      <c r="A261" s="2" t="str">
        <f>"3.1.6.00.00- DESPESAS TRIBUTARIAS"</f>
        <v>3.1.6.00.00- DESPESAS TRIBUTARIAS</v>
      </c>
      <c r="B261" s="10">
        <v>933168.07</v>
      </c>
      <c r="C261" s="10">
        <v>214618.14</v>
      </c>
      <c r="D261" s="10">
        <v>1147786.21</v>
      </c>
    </row>
    <row r="262" spans="1:4" x14ac:dyDescent="0.25">
      <c r="A262" s="2" t="str">
        <f>"3.1.6.00.01- Taxas legais"</f>
        <v>3.1.6.00.01- Taxas legais</v>
      </c>
      <c r="B262" s="10">
        <v>17247.21</v>
      </c>
      <c r="C262" s="10">
        <v>4408.8900000000003</v>
      </c>
      <c r="D262" s="10">
        <v>21656.1</v>
      </c>
    </row>
    <row r="263" spans="1:4" x14ac:dyDescent="0.25">
      <c r="A263" s="2" t="str">
        <f>"3.1.6.00.03- IOF"</f>
        <v>3.1.6.00.03- IOF</v>
      </c>
      <c r="B263" s="10">
        <v>1178</v>
      </c>
      <c r="C263" s="10">
        <v>0</v>
      </c>
      <c r="D263" s="10">
        <v>1178</v>
      </c>
    </row>
    <row r="264" spans="1:4" x14ac:dyDescent="0.25">
      <c r="A264" s="2" t="str">
        <f>"3.1.6.00.06- PIS"</f>
        <v>3.1.6.00.06- PIS</v>
      </c>
      <c r="B264" s="10">
        <v>155591.25</v>
      </c>
      <c r="C264" s="10">
        <v>36734.050000000003</v>
      </c>
      <c r="D264" s="10">
        <v>192325.3</v>
      </c>
    </row>
    <row r="265" spans="1:4" x14ac:dyDescent="0.25">
      <c r="A265" s="2" t="str">
        <f>"3.1.6.00.07- COFINS"</f>
        <v>3.1.6.00.07- COFINS</v>
      </c>
      <c r="B265" s="10">
        <v>716662.75</v>
      </c>
      <c r="C265" s="10">
        <v>169199.28</v>
      </c>
      <c r="D265" s="10">
        <v>885862.03</v>
      </c>
    </row>
    <row r="266" spans="1:4" x14ac:dyDescent="0.25">
      <c r="A266" s="2" t="str">
        <f>"3.1.6.00.08- Multas indedutiveis"</f>
        <v>3.1.6.00.08- Multas indedutiveis</v>
      </c>
      <c r="B266" s="10">
        <v>0.84</v>
      </c>
      <c r="C266" s="10">
        <v>0</v>
      </c>
      <c r="D266" s="10">
        <v>0.84</v>
      </c>
    </row>
    <row r="267" spans="1:4" x14ac:dyDescent="0.25">
      <c r="A267" s="2" t="str">
        <f>"3.1.6.00.10- ISS s/faturamento"</f>
        <v>3.1.6.00.10- ISS s/faturamento</v>
      </c>
      <c r="B267" s="10">
        <v>7848.4</v>
      </c>
      <c r="C267" s="10">
        <v>2140.19</v>
      </c>
      <c r="D267" s="10">
        <v>9988.59</v>
      </c>
    </row>
    <row r="268" spans="1:4" x14ac:dyDescent="0.25">
      <c r="A268" s="2" t="str">
        <f>"3.1.6.00.14- Contrib.entid.classe"</f>
        <v>3.1.6.00.14- Contrib.entid.classe</v>
      </c>
      <c r="B268" s="10">
        <v>22280.84</v>
      </c>
      <c r="C268" s="10">
        <v>301.48</v>
      </c>
      <c r="D268" s="10">
        <v>22582.32</v>
      </c>
    </row>
    <row r="269" spans="1:4" x14ac:dyDescent="0.25">
      <c r="A269" s="2" t="str">
        <f>"3.1.6.00.15- INSS Serv.terceiros"</f>
        <v>3.1.6.00.15- INSS Serv.terceiros</v>
      </c>
      <c r="B269" s="10">
        <v>7574.47</v>
      </c>
      <c r="C269" s="10">
        <v>0</v>
      </c>
      <c r="D269" s="10">
        <v>7574.47</v>
      </c>
    </row>
    <row r="270" spans="1:4" x14ac:dyDescent="0.25">
      <c r="A270" s="2" t="str">
        <f>"3.1.6.00.17- PIS s/ receitas financeiras"</f>
        <v>3.1.6.00.17- PIS s/ receitas financeiras</v>
      </c>
      <c r="B270" s="10">
        <v>668.77</v>
      </c>
      <c r="C270" s="10">
        <v>256.39999999999998</v>
      </c>
      <c r="D270" s="10">
        <v>925.17</v>
      </c>
    </row>
    <row r="271" spans="1:4" x14ac:dyDescent="0.25">
      <c r="A271" s="2" t="str">
        <f>"3.1.6.00.18- Cofins s/ receitas financeiras"</f>
        <v>3.1.6.00.18- Cofins s/ receitas financeiras</v>
      </c>
      <c r="B271" s="10">
        <v>4115.54</v>
      </c>
      <c r="C271" s="10">
        <v>1577.85</v>
      </c>
      <c r="D271" s="10">
        <v>5693.39</v>
      </c>
    </row>
    <row r="272" spans="1:4" x14ac:dyDescent="0.25">
      <c r="A272" s="2" t="str">
        <f>"3.1.7.00.00- DESPESAS FINANCEIRAS"</f>
        <v>3.1.7.00.00- DESPESAS FINANCEIRAS</v>
      </c>
      <c r="B272" s="10">
        <v>402883.37</v>
      </c>
      <c r="C272" s="10">
        <v>5163.7700000000004</v>
      </c>
      <c r="D272" s="10">
        <v>408047.14</v>
      </c>
    </row>
    <row r="273" spans="1:4" x14ac:dyDescent="0.25">
      <c r="A273" s="2" t="str">
        <f>"3.1.7.01.01- Juros passivos curto prazo"</f>
        <v>3.1.7.01.01- Juros passivos curto prazo</v>
      </c>
      <c r="B273" s="10">
        <v>397509.86</v>
      </c>
      <c r="C273" s="10">
        <v>3959.05</v>
      </c>
      <c r="D273" s="10">
        <v>401468.91</v>
      </c>
    </row>
    <row r="274" spans="1:4" x14ac:dyDescent="0.25">
      <c r="A274" s="2" t="str">
        <f>"3.1.7.01.02- Despesas bancarias"</f>
        <v>3.1.7.01.02- Despesas bancarias</v>
      </c>
      <c r="B274" s="10">
        <v>5373.51</v>
      </c>
      <c r="C274" s="10">
        <v>1204.72</v>
      </c>
      <c r="D274" s="10">
        <v>6578.23</v>
      </c>
    </row>
    <row r="275" spans="1:4" x14ac:dyDescent="0.25">
      <c r="A275" s="2" t="str">
        <f>"3.1.8.00.00- OUTRAS DESPESAS"</f>
        <v>3.1.8.00.00- OUTRAS DESPESAS</v>
      </c>
      <c r="B275" s="10">
        <v>1725994.32</v>
      </c>
      <c r="C275" s="10">
        <v>103887.56</v>
      </c>
      <c r="D275" s="10">
        <v>1829881.88</v>
      </c>
    </row>
    <row r="276" spans="1:4" x14ac:dyDescent="0.25">
      <c r="A276" s="2" t="str">
        <f>"3.1.8.00.01- Despesas de viagem"</f>
        <v>3.1.8.00.01- Despesas de viagem</v>
      </c>
      <c r="B276" s="10">
        <v>37147.93</v>
      </c>
      <c r="C276" s="10">
        <v>9319.59</v>
      </c>
      <c r="D276" s="10">
        <v>46467.519999999997</v>
      </c>
    </row>
    <row r="277" spans="1:4" x14ac:dyDescent="0.25">
      <c r="A277" s="2" t="str">
        <f>"3.1.8.00.05- Depreciacao/amort"</f>
        <v>3.1.8.00.05- Depreciacao/amort</v>
      </c>
      <c r="B277" s="10">
        <v>85841.31</v>
      </c>
      <c r="C277" s="10">
        <v>20652.23</v>
      </c>
      <c r="D277" s="10">
        <v>106493.54</v>
      </c>
    </row>
    <row r="278" spans="1:4" x14ac:dyDescent="0.25">
      <c r="A278" s="2" t="str">
        <f>"3.1.8.00.06- Seguros bens moveis e imoveis"</f>
        <v>3.1.8.00.06- Seguros bens moveis e imoveis</v>
      </c>
      <c r="B278" s="10">
        <v>3688.6</v>
      </c>
      <c r="C278" s="10">
        <v>690.41</v>
      </c>
      <c r="D278" s="10">
        <v>4379.01</v>
      </c>
    </row>
    <row r="279" spans="1:4" x14ac:dyDescent="0.25">
      <c r="A279" s="2" t="str">
        <f>"3.1.8.00.08- Alugueis e condominio"</f>
        <v>3.1.8.00.08- Alugueis e condominio</v>
      </c>
      <c r="B279" s="10">
        <v>15215.43</v>
      </c>
      <c r="C279" s="10">
        <v>10143.620000000001</v>
      </c>
      <c r="D279" s="10">
        <v>25359.05</v>
      </c>
    </row>
    <row r="280" spans="1:4" x14ac:dyDescent="0.25">
      <c r="A280" s="2" t="str">
        <f>"3.1.8.00.12- Acoes judiciais terceiros"</f>
        <v>3.1.8.00.12- Acoes judiciais terceiros</v>
      </c>
      <c r="B280" s="10">
        <v>66762.289999999994</v>
      </c>
      <c r="C280" s="10">
        <v>0</v>
      </c>
      <c r="D280" s="10">
        <v>66762.289999999994</v>
      </c>
    </row>
    <row r="281" spans="1:4" x14ac:dyDescent="0.25">
      <c r="A281" s="2" t="str">
        <f>"3.1.8.00.17- Gastos com eventos e promocoes"</f>
        <v>3.1.8.00.17- Gastos com eventos e promocoes</v>
      </c>
      <c r="B281" s="10">
        <v>5209.9799999999996</v>
      </c>
      <c r="C281" s="10">
        <v>6000</v>
      </c>
      <c r="D281" s="10">
        <v>11209.98</v>
      </c>
    </row>
    <row r="282" spans="1:4" x14ac:dyDescent="0.25">
      <c r="A282" s="2" t="str">
        <f>"3.1.8.00.18- Provisao para perdas"</f>
        <v>3.1.8.00.18- Provisao para perdas</v>
      </c>
      <c r="B282" s="10">
        <v>224053.54</v>
      </c>
      <c r="C282" s="10">
        <v>54727.040000000001</v>
      </c>
      <c r="D282" s="10">
        <v>278780.58</v>
      </c>
    </row>
    <row r="283" spans="1:4" x14ac:dyDescent="0.25">
      <c r="A283" s="2" t="str">
        <f>"3.1.8.00.22- Perda tributos a recuperar"</f>
        <v>3.1.8.00.22- Perda tributos a recuperar</v>
      </c>
      <c r="B283" s="10">
        <v>1263645.1299999999</v>
      </c>
      <c r="C283" s="10">
        <v>0</v>
      </c>
      <c r="D283" s="10">
        <v>1263645.1299999999</v>
      </c>
    </row>
    <row r="284" spans="1:4" x14ac:dyDescent="0.25">
      <c r="A284" s="2" t="str">
        <f>"3.1.8.00.23- Custas/Despesas Judiciais"</f>
        <v>3.1.8.00.23- Custas/Despesas Judiciais</v>
      </c>
      <c r="B284" s="10">
        <v>20217.560000000001</v>
      </c>
      <c r="C284" s="10">
        <v>2349.62</v>
      </c>
      <c r="D284" s="10">
        <v>22567.18</v>
      </c>
    </row>
    <row r="285" spans="1:4" x14ac:dyDescent="0.25">
      <c r="A285" s="2" t="str">
        <f>"3.1.8.00.99- Despesas diversas"</f>
        <v>3.1.8.00.99- Despesas diversas</v>
      </c>
      <c r="B285" s="10">
        <v>4212.55</v>
      </c>
      <c r="C285" s="10">
        <v>5.05</v>
      </c>
      <c r="D285" s="10">
        <v>4217.6000000000004</v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"RECEITAS"</f>
        <v>RECEITAS</v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"4.0.0.00.00- RECEITAS"</f>
        <v>4.0.0.00.00- RECEITAS</v>
      </c>
      <c r="B297" s="10">
        <v>50866136.82</v>
      </c>
      <c r="C297" s="10">
        <v>14419426.439999999</v>
      </c>
      <c r="D297" s="10">
        <v>65285563.259999998</v>
      </c>
    </row>
    <row r="298" spans="1:4" x14ac:dyDescent="0.25">
      <c r="A298" s="2" t="str">
        <f>"4.1.0.00.00- RECEITAS BHTRANS"</f>
        <v>4.1.0.00.00- RECEITAS BHTRANS</v>
      </c>
      <c r="B298" s="10">
        <v>50148148.799999997</v>
      </c>
      <c r="C298" s="10">
        <v>14334570.99</v>
      </c>
      <c r="D298" s="10">
        <v>64482719.789999999</v>
      </c>
    </row>
    <row r="299" spans="1:4" x14ac:dyDescent="0.25">
      <c r="A299" s="2" t="str">
        <f>"4.1.1.00.00- RECEITAS OPERACIONAIS"</f>
        <v>4.1.1.00.00- RECEITAS OPERACIONAIS</v>
      </c>
      <c r="B299" s="10">
        <v>49966106.719999999</v>
      </c>
      <c r="C299" s="10">
        <v>14246447.199999999</v>
      </c>
      <c r="D299" s="10">
        <v>64212553.920000002</v>
      </c>
    </row>
    <row r="300" spans="1:4" x14ac:dyDescent="0.25">
      <c r="A300" s="2" t="str">
        <f>"4.1.1.00.05- Midia taxi, escolar e suplementar"</f>
        <v>4.1.1.00.05- Midia taxi, escolar e suplementar</v>
      </c>
      <c r="B300" s="10">
        <v>8913.44</v>
      </c>
      <c r="C300" s="10">
        <v>2662.28</v>
      </c>
      <c r="D300" s="10">
        <v>11575.72</v>
      </c>
    </row>
    <row r="301" spans="1:4" x14ac:dyDescent="0.25">
      <c r="A301" s="2" t="str">
        <f>"4.1.1.00.06- Midia em onibus"</f>
        <v>4.1.1.00.06- Midia em onibus</v>
      </c>
      <c r="B301" s="10">
        <v>215866.65</v>
      </c>
      <c r="C301" s="10">
        <v>60573.24</v>
      </c>
      <c r="D301" s="10">
        <v>276439.89</v>
      </c>
    </row>
    <row r="302" spans="1:4" x14ac:dyDescent="0.25">
      <c r="A302" s="2" t="str">
        <f>"4.1.1.00.07- Midias diversas"</f>
        <v>4.1.1.00.07- Midias diversas</v>
      </c>
      <c r="B302" s="10">
        <v>36728.25</v>
      </c>
      <c r="C302" s="10">
        <v>8104.56</v>
      </c>
      <c r="D302" s="10">
        <v>44832.81</v>
      </c>
    </row>
    <row r="303" spans="1:4" x14ac:dyDescent="0.25">
      <c r="A303" s="2" t="str">
        <f>"4.1.1.00.08- Estacionamento Rotativo"</f>
        <v>4.1.1.00.08- Estacionamento Rotativo</v>
      </c>
      <c r="B303" s="10">
        <v>6920390.4000000004</v>
      </c>
      <c r="C303" s="10">
        <v>1575657.6</v>
      </c>
      <c r="D303" s="10">
        <v>8496048</v>
      </c>
    </row>
    <row r="304" spans="1:4" x14ac:dyDescent="0.25">
      <c r="A304" s="2" t="str">
        <f>"4.1.1.00.10- Transf. financeira PBH"</f>
        <v>4.1.1.00.10- Transf. financeira PBH</v>
      </c>
      <c r="B304" s="10">
        <v>41333475.359999999</v>
      </c>
      <c r="C304" s="10">
        <v>12153673.859999999</v>
      </c>
      <c r="D304" s="10">
        <v>53487149.219999999</v>
      </c>
    </row>
    <row r="305" spans="1:4" x14ac:dyDescent="0.25">
      <c r="A305" s="2" t="str">
        <f>"4.1.1.00.16- Multas transporte coletivo"</f>
        <v>4.1.1.00.16- Multas transporte coletivo</v>
      </c>
      <c r="B305" s="10">
        <v>1120267.6499999999</v>
      </c>
      <c r="C305" s="10">
        <v>273635.21000000002</v>
      </c>
      <c r="D305" s="10">
        <v>1393902.86</v>
      </c>
    </row>
    <row r="306" spans="1:4" x14ac:dyDescent="0.25">
      <c r="A306" s="2" t="str">
        <f>"4.1.1.00.17- Multas transporte publico"</f>
        <v>4.1.1.00.17- Multas transporte publico</v>
      </c>
      <c r="B306" s="10">
        <v>205513.17</v>
      </c>
      <c r="C306" s="10">
        <v>72258.62</v>
      </c>
      <c r="D306" s="10">
        <v>277771.78999999998</v>
      </c>
    </row>
    <row r="307" spans="1:4" x14ac:dyDescent="0.25">
      <c r="A307" s="2" t="str">
        <f>"4.1.1.00.19- Subconcessao frotas de taxi"</f>
        <v>4.1.1.00.19- Subconcessao frotas de taxi</v>
      </c>
      <c r="B307" s="10">
        <v>124951.8</v>
      </c>
      <c r="C307" s="10">
        <v>99881.83</v>
      </c>
      <c r="D307" s="10">
        <v>224833.63</v>
      </c>
    </row>
    <row r="308" spans="1:4" x14ac:dyDescent="0.25">
      <c r="A308" s="2" t="str">
        <f>"4.1.8.00.00- RECEITAS ALUGUEIS ESTACOES"</f>
        <v>4.1.8.00.00- RECEITAS ALUGUEIS ESTACOES</v>
      </c>
      <c r="B308" s="10">
        <v>182042.08</v>
      </c>
      <c r="C308" s="10">
        <v>88123.79</v>
      </c>
      <c r="D308" s="10">
        <v>270165.87</v>
      </c>
    </row>
    <row r="309" spans="1:4" x14ac:dyDescent="0.25">
      <c r="A309" s="2" t="str">
        <f>"4.1.8.00.01- Alugueis Estacoes"</f>
        <v>4.1.8.00.01- Alugueis Estacoes</v>
      </c>
      <c r="B309" s="10">
        <v>182042.08</v>
      </c>
      <c r="C309" s="10">
        <v>88123.79</v>
      </c>
      <c r="D309" s="10">
        <v>270165.87</v>
      </c>
    </row>
    <row r="310" spans="1:4" x14ac:dyDescent="0.25">
      <c r="A310" s="2" t="str">
        <f>"4.2.0.00.00- RECEITAS FINANCEIRAS"</f>
        <v>4.2.0.00.00- RECEITAS FINANCEIRAS</v>
      </c>
      <c r="B310" s="10">
        <v>102888.51</v>
      </c>
      <c r="C310" s="10">
        <v>39446.28</v>
      </c>
      <c r="D310" s="10">
        <v>142334.79</v>
      </c>
    </row>
    <row r="311" spans="1:4" x14ac:dyDescent="0.25">
      <c r="A311" s="2" t="str">
        <f>"4.2.1.00.00- RECEITAS FINANCEIRAS"</f>
        <v>4.2.1.00.00- RECEITAS FINANCEIRAS</v>
      </c>
      <c r="B311" s="10">
        <v>102664.6</v>
      </c>
      <c r="C311" s="10">
        <v>39390.85</v>
      </c>
      <c r="D311" s="10">
        <v>142055.45000000001</v>
      </c>
    </row>
    <row r="312" spans="1:4" x14ac:dyDescent="0.25">
      <c r="A312" s="2" t="str">
        <f>"4.2.1.00.01- Rendimentos aplic. Financeira"</f>
        <v>4.2.1.00.01- Rendimentos aplic. Financeira</v>
      </c>
      <c r="B312" s="10">
        <v>97181.05</v>
      </c>
      <c r="C312" s="10">
        <v>39390.85</v>
      </c>
      <c r="D312" s="10">
        <v>136571.9</v>
      </c>
    </row>
    <row r="313" spans="1:4" x14ac:dyDescent="0.25">
      <c r="A313" s="2" t="str">
        <f>"4.2.1.00.02- Juros ativos"</f>
        <v>4.2.1.00.02- Juros ativos</v>
      </c>
      <c r="B313" s="10">
        <v>888.06</v>
      </c>
      <c r="C313" s="10">
        <v>0</v>
      </c>
      <c r="D313" s="10">
        <v>888.06</v>
      </c>
    </row>
    <row r="314" spans="1:4" x14ac:dyDescent="0.25">
      <c r="A314" s="2" t="str">
        <f>"4.2.1.00.05- Receitas Financeiras - Convênio"</f>
        <v>4.2.1.00.05- Receitas Financeiras - Convênio</v>
      </c>
      <c r="B314" s="10">
        <v>4595.49</v>
      </c>
      <c r="C314" s="10">
        <v>0</v>
      </c>
      <c r="D314" s="10">
        <v>4595.49</v>
      </c>
    </row>
    <row r="315" spans="1:4" x14ac:dyDescent="0.25">
      <c r="A315" s="2" t="str">
        <f>"4.2.2.00.00- VARIACOES MONETARIAS ATIVAS"</f>
        <v>4.2.2.00.00- VARIACOES MONETARIAS ATIVAS</v>
      </c>
      <c r="B315" s="10">
        <v>223.91</v>
      </c>
      <c r="C315" s="10">
        <v>55.43</v>
      </c>
      <c r="D315" s="10">
        <v>279.33999999999997</v>
      </c>
    </row>
    <row r="316" spans="1:4" x14ac:dyDescent="0.25">
      <c r="A316" s="2" t="str">
        <f>"4.2.2.00.01- Variações monetárias ativas"</f>
        <v>4.2.2.00.01- Variações monetárias ativas</v>
      </c>
      <c r="B316" s="10">
        <v>223.91</v>
      </c>
      <c r="C316" s="10">
        <v>55.43</v>
      </c>
      <c r="D316" s="10">
        <v>279.33999999999997</v>
      </c>
    </row>
    <row r="317" spans="1:4" x14ac:dyDescent="0.25">
      <c r="A317" s="2" t="str">
        <f>"4.3.0.00.00- OUTRAS RECEITAS"</f>
        <v>4.3.0.00.00- OUTRAS RECEITAS</v>
      </c>
      <c r="B317" s="10">
        <v>615099.51</v>
      </c>
      <c r="C317" s="10">
        <v>45409.17</v>
      </c>
      <c r="D317" s="10">
        <v>660508.68000000005</v>
      </c>
    </row>
    <row r="318" spans="1:4" x14ac:dyDescent="0.25">
      <c r="A318" s="2" t="str">
        <f>"4.3.1.00.00- OUTRAS RECEITAS"</f>
        <v>4.3.1.00.00- OUTRAS RECEITAS</v>
      </c>
      <c r="B318" s="10">
        <v>615099.51</v>
      </c>
      <c r="C318" s="10">
        <v>45409.17</v>
      </c>
      <c r="D318" s="10">
        <v>660508.68000000005</v>
      </c>
    </row>
    <row r="319" spans="1:4" x14ac:dyDescent="0.25">
      <c r="A319" s="2" t="str">
        <f>"4.3.1.00.04- Receitas Diversas"</f>
        <v>4.3.1.00.04- Receitas Diversas</v>
      </c>
      <c r="B319" s="10">
        <v>473794.15</v>
      </c>
      <c r="C319" s="10">
        <v>27406.65</v>
      </c>
      <c r="D319" s="10">
        <v>501200.8</v>
      </c>
    </row>
    <row r="320" spans="1:4" x14ac:dyDescent="0.25">
      <c r="A320" s="2" t="str">
        <f>"4.3.1.00.07- Concessão de Abrigo de ônibus"</f>
        <v>4.3.1.00.07- Concessão de Abrigo de ônibus</v>
      </c>
      <c r="B320" s="10">
        <v>141305.35999999999</v>
      </c>
      <c r="C320" s="10">
        <v>18002.52</v>
      </c>
      <c r="D320" s="10">
        <v>159307.88</v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ht="15.75" thickBot="1" x14ac:dyDescent="0.3">
      <c r="A345" s="4" t="str">
        <f>"APURACAO DE RESULTADOS"</f>
        <v>APURACAO DE RESULTADOS</v>
      </c>
      <c r="B345" s="5" t="str">
        <f>""</f>
        <v/>
      </c>
      <c r="C345" s="5" t="str">
        <f>""</f>
        <v/>
      </c>
      <c r="D345" s="5" t="str">
        <f>""</f>
        <v/>
      </c>
    </row>
    <row r="346" spans="1:4" x14ac:dyDescent="0.25">
      <c r="A346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"/>
  <sheetViews>
    <sheetView workbookViewId="0">
      <selection activeCell="D1" sqref="D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10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42597429.979999997</v>
      </c>
      <c r="C4" s="10">
        <v>1525051.62</v>
      </c>
      <c r="D4" s="10">
        <v>44122481.600000001</v>
      </c>
    </row>
    <row r="5" spans="1:4" x14ac:dyDescent="0.25">
      <c r="A5" s="2" t="str">
        <f>"1.1.0.00.00- ATIVO CIRCULANTE"</f>
        <v>1.1.0.00.00- ATIVO CIRCULANTE</v>
      </c>
      <c r="B5" s="10">
        <v>21275137.82</v>
      </c>
      <c r="C5" s="10">
        <v>1184272.78</v>
      </c>
      <c r="D5" s="10">
        <v>22459410.600000001</v>
      </c>
    </row>
    <row r="6" spans="1:4" x14ac:dyDescent="0.25">
      <c r="A6" s="2" t="str">
        <f>"1.1.1.00.00- DISPONIVEL"</f>
        <v>1.1.1.00.00- DISPONIVEL</v>
      </c>
      <c r="B6" s="10">
        <v>11849149.109999999</v>
      </c>
      <c r="C6" s="10">
        <v>715793.89</v>
      </c>
      <c r="D6" s="10">
        <v>12564943</v>
      </c>
    </row>
    <row r="7" spans="1:4" x14ac:dyDescent="0.25">
      <c r="A7" s="2" t="str">
        <f>"1.1.1.01.00- CAIXA GERAL"</f>
        <v>1.1.1.01.00- CAIXA GERAL</v>
      </c>
      <c r="B7" s="10">
        <v>2200</v>
      </c>
      <c r="C7" s="10">
        <v>-1120</v>
      </c>
      <c r="D7" s="10">
        <v>1080</v>
      </c>
    </row>
    <row r="8" spans="1:4" x14ac:dyDescent="0.25">
      <c r="A8" s="2" t="str">
        <f>"1.1.1.01.04- Caixa - Georf"</f>
        <v>1.1.1.01.04- Caixa - Georf</v>
      </c>
      <c r="B8" s="10">
        <v>520</v>
      </c>
      <c r="C8" s="10">
        <v>-520</v>
      </c>
      <c r="D8" s="10">
        <v>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1200</v>
      </c>
      <c r="C10" s="10">
        <v>-600</v>
      </c>
      <c r="D10" s="10">
        <v>600</v>
      </c>
    </row>
    <row r="11" spans="1:4" x14ac:dyDescent="0.25">
      <c r="A11" s="2" t="str">
        <f>"1.1.1.02.00- BANCOS C/MOVIMENTO"</f>
        <v>1.1.1.02.00- BANCOS C/MOVIMENTO</v>
      </c>
      <c r="B11" s="10">
        <v>282808.78000000003</v>
      </c>
      <c r="C11" s="10">
        <v>36415.99</v>
      </c>
      <c r="D11" s="10">
        <v>319224.77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0</v>
      </c>
      <c r="C12" s="10">
        <v>503.59</v>
      </c>
      <c r="D12" s="10">
        <v>503.59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41918.089999999997</v>
      </c>
      <c r="C13" s="10">
        <v>94613.24</v>
      </c>
      <c r="D13" s="10">
        <v>136531.32999999999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-74.14</v>
      </c>
      <c r="C14" s="10">
        <v>776.81</v>
      </c>
      <c r="D14" s="10">
        <v>702.67</v>
      </c>
    </row>
    <row r="15" spans="1:4" x14ac:dyDescent="0.25">
      <c r="A15" s="2" t="str">
        <f>"1.1.1.02.32- Caixa Econômica Federal - 3292-3 Leilão"</f>
        <v>1.1.1.02.32- Caixa Econômica Federal - 3292-3 Leilão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1132.26</v>
      </c>
      <c r="C17" s="10">
        <v>0</v>
      </c>
      <c r="D17" s="10">
        <v>1132.26</v>
      </c>
    </row>
    <row r="18" spans="1:4" x14ac:dyDescent="0.25">
      <c r="A18" s="2" t="str">
        <f>"1.1.1.02.40- Caixa Econômica Federal - 3302-4 Mídia"</f>
        <v>1.1.1.02.40- Caixa Econômica Federal - 3302-4 Mídia</v>
      </c>
      <c r="B18" s="10">
        <v>53149.41</v>
      </c>
      <c r="C18" s="10">
        <v>-53149.41</v>
      </c>
      <c r="D18" s="10">
        <v>0</v>
      </c>
    </row>
    <row r="19" spans="1:4" x14ac:dyDescent="0.25">
      <c r="A19" s="2" t="str">
        <f>"1.1.1.02.41- Caixa Econômica Federal - 3303-2Rotativo"</f>
        <v>1.1.1.02.41- Caixa Econômica Federal - 3303-2Rotativo</v>
      </c>
      <c r="B19" s="10">
        <v>174566.56</v>
      </c>
      <c r="C19" s="10">
        <v>3122.36</v>
      </c>
      <c r="D19" s="10">
        <v>177688.92</v>
      </c>
    </row>
    <row r="20" spans="1:4" x14ac:dyDescent="0.25">
      <c r="A20" s="2" t="str">
        <f>"1.1.1.02.42- Caixa Econômica Federal - 3304-0Caução"</f>
        <v>1.1.1.02.42- Caixa Econômica Federal - 3304-0Caução</v>
      </c>
      <c r="B20" s="10">
        <v>672.6</v>
      </c>
      <c r="C20" s="10">
        <v>-672.6</v>
      </c>
      <c r="D20" s="10">
        <v>0</v>
      </c>
    </row>
    <row r="21" spans="1:4" x14ac:dyDescent="0.25">
      <c r="A21" s="2" t="str">
        <f>"1.1.1.02.46- Caixa Econômica Federal - 3309-1 Rot int"</f>
        <v>1.1.1.02.46- Caixa Econômica Federal - 3309-1 Rot int</v>
      </c>
      <c r="B21" s="10">
        <v>11242</v>
      </c>
      <c r="C21" s="10">
        <v>-8778</v>
      </c>
      <c r="D21" s="10">
        <v>2464</v>
      </c>
    </row>
    <row r="22" spans="1:4" x14ac:dyDescent="0.25">
      <c r="A22" s="2" t="str">
        <f>"1.1.1.02.51- Caixa Econômica Federal -3501-9Leillão17"</f>
        <v>1.1.1.02.51- Caixa Econômica Federal -3501-9Leillão17</v>
      </c>
      <c r="B22" s="10">
        <v>42</v>
      </c>
      <c r="C22" s="10">
        <v>0</v>
      </c>
      <c r="D22" s="10">
        <v>42</v>
      </c>
    </row>
    <row r="23" spans="1:4" x14ac:dyDescent="0.25">
      <c r="A23" s="2" t="str">
        <f>"1.1.1.03.00- APLICACOES FINANCEIRAS"</f>
        <v>1.1.1.03.00- APLICACOES FINANCEIRAS</v>
      </c>
      <c r="B23" s="10">
        <v>9386667.8100000005</v>
      </c>
      <c r="C23" s="10">
        <v>765549.64</v>
      </c>
      <c r="D23" s="10">
        <v>10152217.449999999</v>
      </c>
    </row>
    <row r="24" spans="1:4" x14ac:dyDescent="0.25">
      <c r="A24" s="2" t="str">
        <f>"1.1.1.03.23- Caixa Econômica Federal - 3291-5"</f>
        <v>1.1.1.03.23- Caixa Econômica Federal - 3291-5</v>
      </c>
      <c r="B24" s="10">
        <v>7925725.6399999997</v>
      </c>
      <c r="C24" s="10">
        <v>757667.25</v>
      </c>
      <c r="D24" s="10">
        <v>8683392.8900000006</v>
      </c>
    </row>
    <row r="25" spans="1:4" x14ac:dyDescent="0.25">
      <c r="A25" s="2" t="str">
        <f>"1.1.1.03.25- Caixa Econômica Federal - 3292-3 Leilão"</f>
        <v>1.1.1.03.25- Caixa Econômica Federal - 3292-3 Leilão</v>
      </c>
      <c r="B25" s="10">
        <v>73691.070000000007</v>
      </c>
      <c r="C25" s="10">
        <v>356.88</v>
      </c>
      <c r="D25" s="10">
        <v>74047.95</v>
      </c>
    </row>
    <row r="26" spans="1:4" x14ac:dyDescent="0.25">
      <c r="A26" s="2" t="str">
        <f>"1.1.1.03.26- Caixa Econômica Federal - 3295-8Leilão13"</f>
        <v>1.1.1.03.26- Caixa Econômica Federal - 3295-8Leilão13</v>
      </c>
      <c r="B26" s="10">
        <v>201815.51</v>
      </c>
      <c r="C26" s="10">
        <v>977.38</v>
      </c>
      <c r="D26" s="10">
        <v>202792.89</v>
      </c>
    </row>
    <row r="27" spans="1:4" x14ac:dyDescent="0.25">
      <c r="A27" s="2" t="str">
        <f>"1.1.1.03.29- Caixa Econômica Federal - 3298-2Leilão15"</f>
        <v>1.1.1.03.29- Caixa Econômica Federal - 3298-2Leilão15</v>
      </c>
      <c r="B27" s="10">
        <v>100661.24</v>
      </c>
      <c r="C27" s="10">
        <v>411.71</v>
      </c>
      <c r="D27" s="10">
        <v>101072.95</v>
      </c>
    </row>
    <row r="28" spans="1:4" x14ac:dyDescent="0.25">
      <c r="A28" s="2" t="str">
        <f>"1.1.1.03.30- Caixa Econômica Federal - 3299-0Leilão16"</f>
        <v>1.1.1.03.30- Caixa Econômica Federal - 3299-0Leilão16</v>
      </c>
      <c r="B28" s="10">
        <v>126941.47</v>
      </c>
      <c r="C28" s="10">
        <v>614.77</v>
      </c>
      <c r="D28" s="10">
        <v>127556.24</v>
      </c>
    </row>
    <row r="29" spans="1:4" x14ac:dyDescent="0.25">
      <c r="A29" s="2" t="str">
        <f>"1.1.1.03.31- Caixa Econômica Federal - 3300-8Leilão16"</f>
        <v>1.1.1.03.31- Caixa Econômica Federal - 3300-8Leilão16</v>
      </c>
      <c r="B29" s="10">
        <v>45480.2</v>
      </c>
      <c r="C29" s="10">
        <v>186.02</v>
      </c>
      <c r="D29" s="10">
        <v>45666.22</v>
      </c>
    </row>
    <row r="30" spans="1:4" x14ac:dyDescent="0.25">
      <c r="A30" s="2" t="str">
        <f>"1.1.1.03.32- Caixa Econômica - 3301-6 Mídia"</f>
        <v>1.1.1.03.32- Caixa Econômica - 3301-6 Mídia</v>
      </c>
      <c r="B30" s="10">
        <v>81643.12</v>
      </c>
      <c r="C30" s="10">
        <v>2410.15</v>
      </c>
      <c r="D30" s="10">
        <v>84053.27</v>
      </c>
    </row>
    <row r="31" spans="1:4" x14ac:dyDescent="0.25">
      <c r="A31" s="2" t="str">
        <f>"1.1.1.03.35- Caixa Econômica - 3304-0Caução"</f>
        <v>1.1.1.03.35- Caixa Econômica - 3304-0Caução</v>
      </c>
      <c r="B31" s="10">
        <v>432756.31</v>
      </c>
      <c r="C31" s="10">
        <v>1879.53</v>
      </c>
      <c r="D31" s="10">
        <v>434635.84</v>
      </c>
    </row>
    <row r="32" spans="1:4" x14ac:dyDescent="0.25">
      <c r="A32" s="2" t="str">
        <f>"1.1.1.03.36- Caixa Econômica - 3305-9Sucumb."</f>
        <v>1.1.1.03.36- Caixa Econômica - 3305-9Sucumb.</v>
      </c>
      <c r="B32" s="10">
        <v>9429.0300000000007</v>
      </c>
      <c r="C32" s="10">
        <v>36.35</v>
      </c>
      <c r="D32" s="10">
        <v>9465.3799999999992</v>
      </c>
    </row>
    <row r="33" spans="1:4" x14ac:dyDescent="0.25">
      <c r="A33" s="2" t="str">
        <f>"1.1.1.03.38- Caixa Econômica - 3308-3Leilão"</f>
        <v>1.1.1.03.38- Caixa Econômica - 3308-3Leilão</v>
      </c>
      <c r="B33" s="10">
        <v>2173.5700000000002</v>
      </c>
      <c r="C33" s="10">
        <v>8.3800000000000008</v>
      </c>
      <c r="D33" s="10">
        <v>2181.9499999999998</v>
      </c>
    </row>
    <row r="34" spans="1:4" x14ac:dyDescent="0.25">
      <c r="A34" s="2" t="str">
        <f>"1.1.1.03.41- Caixa Econômica - 531-0 Aci moto poupanç"</f>
        <v>1.1.1.03.41- Caixa Econômica - 531-0 Aci moto poupanç</v>
      </c>
      <c r="B34" s="10">
        <v>598.11</v>
      </c>
      <c r="C34" s="10">
        <v>0</v>
      </c>
      <c r="D34" s="10">
        <v>598.11</v>
      </c>
    </row>
    <row r="35" spans="1:4" x14ac:dyDescent="0.25">
      <c r="A35" s="2" t="str">
        <f>"1.1.1.03.42- Caixa Econômica - 532-9 Acid Ped Poupanç"</f>
        <v>1.1.1.03.42- Caixa Econômica - 532-9 Acid Ped Poupanç</v>
      </c>
      <c r="B35" s="10">
        <v>89225.02</v>
      </c>
      <c r="C35" s="10">
        <v>0</v>
      </c>
      <c r="D35" s="10">
        <v>89225.02</v>
      </c>
    </row>
    <row r="36" spans="1:4" x14ac:dyDescent="0.25">
      <c r="A36" s="2" t="str">
        <f>"1.1.1.03.43- Caixa Econômica - 534-5 Codemig Poupança"</f>
        <v>1.1.1.03.43- Caixa Econômica - 534-5 Codemig Poupança</v>
      </c>
      <c r="B36" s="10">
        <v>25951.4</v>
      </c>
      <c r="C36" s="10">
        <v>0</v>
      </c>
      <c r="D36" s="10">
        <v>25951.4</v>
      </c>
    </row>
    <row r="37" spans="1:4" x14ac:dyDescent="0.25">
      <c r="A37" s="2" t="str">
        <f>"1.1.1.03.44- Caixa Econômica - 535-3 Turblog Poupança"</f>
        <v>1.1.1.03.44- Caixa Econômica - 535-3 Turblog Poupança</v>
      </c>
      <c r="B37" s="10">
        <v>63837.8</v>
      </c>
      <c r="C37" s="10">
        <v>0</v>
      </c>
      <c r="D37" s="10">
        <v>63837.8</v>
      </c>
    </row>
    <row r="38" spans="1:4" x14ac:dyDescent="0.25">
      <c r="A38" s="2" t="str">
        <f>"1.1.1.03.45- Caixa Econômica Federal - 3393-8Leilão17"</f>
        <v>1.1.1.03.45- Caixa Econômica Federal - 3393-8Leilão17</v>
      </c>
      <c r="B38" s="10">
        <v>112698.99</v>
      </c>
      <c r="C38" s="10">
        <v>545.79</v>
      </c>
      <c r="D38" s="10">
        <v>113244.78</v>
      </c>
    </row>
    <row r="39" spans="1:4" x14ac:dyDescent="0.25">
      <c r="A39" s="2" t="str">
        <f>"1.1.1.03.46- Caixa Econômica Federal -3501-9Leillão17"</f>
        <v>1.1.1.03.46- Caixa Econômica Federal -3501-9Leillão17</v>
      </c>
      <c r="B39" s="10">
        <v>94039.33</v>
      </c>
      <c r="C39" s="10">
        <v>455.43</v>
      </c>
      <c r="D39" s="10">
        <v>94494.76</v>
      </c>
    </row>
    <row r="40" spans="1:4" x14ac:dyDescent="0.25">
      <c r="A40" s="2" t="str">
        <f>"1.1.1.04.00- BANCOS C/VINCULADA-PAMEH"</f>
        <v>1.1.1.04.00- BANCOS C/VINCULADA-PAMEH</v>
      </c>
      <c r="B40" s="10">
        <v>2177472.52</v>
      </c>
      <c r="C40" s="10">
        <v>-85051.74</v>
      </c>
      <c r="D40" s="10">
        <v>2092420.78</v>
      </c>
    </row>
    <row r="41" spans="1:4" x14ac:dyDescent="0.25">
      <c r="A41" s="2" t="str">
        <f>"1.1.1.04.07- Caixa Econômica Federal - 3294-0"</f>
        <v>1.1.1.04.07- Caixa Econômica Federal - 3294-0</v>
      </c>
      <c r="B41" s="10">
        <v>2215.38</v>
      </c>
      <c r="C41" s="10">
        <v>584.05999999999995</v>
      </c>
      <c r="D41" s="10">
        <v>2799.44</v>
      </c>
    </row>
    <row r="42" spans="1:4" x14ac:dyDescent="0.25">
      <c r="A42" s="2" t="str">
        <f>"1.1.1.04.08- Caixa Econômica Federal - 3294-0 Aplic."</f>
        <v>1.1.1.04.08- Caixa Econômica Federal - 3294-0 Aplic.</v>
      </c>
      <c r="B42" s="10">
        <v>2175257.14</v>
      </c>
      <c r="C42" s="10">
        <v>-85635.8</v>
      </c>
      <c r="D42" s="10">
        <v>2089621.34</v>
      </c>
    </row>
    <row r="43" spans="1:4" x14ac:dyDescent="0.25">
      <c r="A43" s="2" t="str">
        <f>"1.1.2.00.00- REALIZAVEL A CURTO PRAZO"</f>
        <v>1.1.2.00.00- REALIZAVEL A CURTO PRAZO</v>
      </c>
      <c r="B43" s="10">
        <v>9425988.7100000009</v>
      </c>
      <c r="C43" s="10">
        <v>468478.89</v>
      </c>
      <c r="D43" s="10">
        <v>9894467.5999999996</v>
      </c>
    </row>
    <row r="44" spans="1:4" x14ac:dyDescent="0.25">
      <c r="A44" s="2" t="str">
        <f>"1.1.2.01.00- CONTAS A RECEBER"</f>
        <v>1.1.2.01.00- CONTAS A RECEBER</v>
      </c>
      <c r="B44" s="10">
        <v>5571379.8700000001</v>
      </c>
      <c r="C44" s="10">
        <v>358378.92</v>
      </c>
      <c r="D44" s="10">
        <v>5929758.79</v>
      </c>
    </row>
    <row r="45" spans="1:4" x14ac:dyDescent="0.25">
      <c r="A45" s="2" t="str">
        <f>"1.1.2.01.89- Multas Transporte Coletivo"</f>
        <v>1.1.2.01.89- Multas Transporte Coletivo</v>
      </c>
      <c r="B45" s="10">
        <v>6789370.4199999999</v>
      </c>
      <c r="C45" s="10">
        <v>365238.14</v>
      </c>
      <c r="D45" s="10">
        <v>7154608.5599999996</v>
      </c>
    </row>
    <row r="46" spans="1:4" x14ac:dyDescent="0.25">
      <c r="A46" s="2" t="str">
        <f>"1.1.2.01.91- Midias Diversas"</f>
        <v>1.1.2.01.91- Midias Diversas</v>
      </c>
      <c r="B46" s="10">
        <v>0</v>
      </c>
      <c r="C46" s="10">
        <v>8104.56</v>
      </c>
      <c r="D46" s="10">
        <v>8104.56</v>
      </c>
    </row>
    <row r="47" spans="1:4" x14ac:dyDescent="0.25">
      <c r="A47" s="2" t="str">
        <f>"1.1.2.01.94- Midia Onibus a Receber"</f>
        <v>1.1.2.01.94- Midia Onibus a Receber</v>
      </c>
      <c r="B47" s="10">
        <v>253567.34</v>
      </c>
      <c r="C47" s="10">
        <v>56602.63</v>
      </c>
      <c r="D47" s="10">
        <v>310169.96999999997</v>
      </c>
    </row>
    <row r="48" spans="1:4" x14ac:dyDescent="0.25">
      <c r="A48" s="2" t="str">
        <f>"1.1.2.01.98- Outras contas a receber"</f>
        <v>1.1.2.01.98- Outras contas a receber</v>
      </c>
      <c r="B48" s="10">
        <v>36005.040000000001</v>
      </c>
      <c r="C48" s="10">
        <v>1481.22</v>
      </c>
      <c r="D48" s="10">
        <v>37486.26</v>
      </c>
    </row>
    <row r="49" spans="1:4" x14ac:dyDescent="0.25">
      <c r="A49" s="2" t="str">
        <f>"1.1.2.01.99- (-) Provisao para Perdas"</f>
        <v>1.1.2.01.99- (-) Provisao para Perdas</v>
      </c>
      <c r="B49" s="10">
        <v>-1507562.93</v>
      </c>
      <c r="C49" s="10">
        <v>-73047.63</v>
      </c>
      <c r="D49" s="10">
        <v>-1580610.5600000001</v>
      </c>
    </row>
    <row r="50" spans="1:4" x14ac:dyDescent="0.25">
      <c r="A50" s="2" t="str">
        <f>"1.1.2.04.00- CONVÊNIOS A RECEBER"</f>
        <v>1.1.2.04.00- CONVÊNIOS A RECEBER</v>
      </c>
      <c r="B50" s="10">
        <v>3432.15</v>
      </c>
      <c r="C50" s="10">
        <v>-3432.15</v>
      </c>
      <c r="D50" s="10">
        <v>0</v>
      </c>
    </row>
    <row r="51" spans="1:4" x14ac:dyDescent="0.25">
      <c r="A51" s="2" t="str">
        <f>"1.1.2.04.99- Convenios cedidos a receber"</f>
        <v>1.1.2.04.99- Convenios cedidos a receber</v>
      </c>
      <c r="B51" s="10">
        <v>3432.15</v>
      </c>
      <c r="C51" s="10">
        <v>-3432.15</v>
      </c>
      <c r="D51" s="10">
        <v>0</v>
      </c>
    </row>
    <row r="52" spans="1:4" x14ac:dyDescent="0.25">
      <c r="A52" s="2" t="str">
        <f>"1.1.2.06.00- ADIANTAMENTO A EMPREGADOS"</f>
        <v>1.1.2.06.00- ADIANTAMENTO A EMPREGADOS</v>
      </c>
      <c r="B52" s="10">
        <v>1813687.18</v>
      </c>
      <c r="C52" s="10">
        <v>131369.26999999999</v>
      </c>
      <c r="D52" s="10">
        <v>1945056.45</v>
      </c>
    </row>
    <row r="53" spans="1:4" x14ac:dyDescent="0.25">
      <c r="A53" s="2" t="str">
        <f>"1.1.2.06.01- Adiantamento de Ferias"</f>
        <v>1.1.2.06.01- Adiantamento de Ferias</v>
      </c>
      <c r="B53" s="10">
        <v>635487.79</v>
      </c>
      <c r="C53" s="10">
        <v>47697.4</v>
      </c>
      <c r="D53" s="10">
        <v>683185.19</v>
      </c>
    </row>
    <row r="54" spans="1:4" x14ac:dyDescent="0.25">
      <c r="A54" s="2" t="str">
        <f>"1.1.2.06.02- Adiantamento de 13. Salario"</f>
        <v>1.1.2.06.02- Adiantamento de 13. Salario</v>
      </c>
      <c r="B54" s="10">
        <v>891882.4</v>
      </c>
      <c r="C54" s="10">
        <v>99372.72</v>
      </c>
      <c r="D54" s="10">
        <v>991255.12</v>
      </c>
    </row>
    <row r="55" spans="1:4" x14ac:dyDescent="0.25">
      <c r="A55" s="2" t="str">
        <f>"1.1.2.06.03- Adiant. de Salario/Parc. Ferias"</f>
        <v>1.1.2.06.03- Adiant. de Salario/Parc. Ferias</v>
      </c>
      <c r="B55" s="10">
        <v>123786.42</v>
      </c>
      <c r="C55" s="10">
        <v>-16377.48</v>
      </c>
      <c r="D55" s="10">
        <v>107408.94</v>
      </c>
    </row>
    <row r="56" spans="1:4" x14ac:dyDescent="0.25">
      <c r="A56" s="2" t="str">
        <f>"1.1.2.06.07- Adiantamento Pensao s/ Ferias"</f>
        <v>1.1.2.06.07- Adiantamento Pensao s/ Ferias</v>
      </c>
      <c r="B56" s="10">
        <v>162530.57</v>
      </c>
      <c r="C56" s="10">
        <v>676.63</v>
      </c>
      <c r="D56" s="10">
        <v>163207.20000000001</v>
      </c>
    </row>
    <row r="57" spans="1:4" x14ac:dyDescent="0.25">
      <c r="A57" s="2" t="str">
        <f>"1.1.2.08.00- ALMOXARIFADO"</f>
        <v>1.1.2.08.00- ALMOXARIFADO</v>
      </c>
      <c r="B57" s="10">
        <v>278771.53000000003</v>
      </c>
      <c r="C57" s="10">
        <v>2610.2600000000002</v>
      </c>
      <c r="D57" s="10">
        <v>281381.78999999998</v>
      </c>
    </row>
    <row r="58" spans="1:4" x14ac:dyDescent="0.25">
      <c r="A58" s="2" t="str">
        <f>"1.1.2.08.01- Material em Estoque"</f>
        <v>1.1.2.08.01- Material em Estoque</v>
      </c>
      <c r="B58" s="10">
        <v>278771.53000000003</v>
      </c>
      <c r="C58" s="10">
        <v>2610.2600000000002</v>
      </c>
      <c r="D58" s="10">
        <v>281381.78999999998</v>
      </c>
    </row>
    <row r="59" spans="1:4" x14ac:dyDescent="0.25">
      <c r="A59" s="2" t="str">
        <f>"1.1.2.10.00- IMPOSTOS E CONTRIB.A RECUPERAR"</f>
        <v>1.1.2.10.00- IMPOSTOS E CONTRIB.A RECUPERAR</v>
      </c>
      <c r="B59" s="10">
        <v>673153.93</v>
      </c>
      <c r="C59" s="10">
        <v>-131527.63</v>
      </c>
      <c r="D59" s="10">
        <v>541626.30000000005</v>
      </c>
    </row>
    <row r="60" spans="1:4" x14ac:dyDescent="0.25">
      <c r="A60" s="2" t="str">
        <f>"1.1.2.10.01- IR s/Aplicacao Financeira"</f>
        <v>1.1.2.10.01- IR s/Aplicacao Financeira</v>
      </c>
      <c r="B60" s="10">
        <v>555893.05000000005</v>
      </c>
      <c r="C60" s="10">
        <v>-131583.04999999999</v>
      </c>
      <c r="D60" s="10">
        <v>424310</v>
      </c>
    </row>
    <row r="61" spans="1:4" x14ac:dyDescent="0.25">
      <c r="A61" s="2" t="str">
        <f>"1.1.2.10.08- IRRF a Compensar"</f>
        <v>1.1.2.10.08- IRRF a Compensar</v>
      </c>
      <c r="B61" s="10">
        <v>1454.99</v>
      </c>
      <c r="C61" s="10">
        <v>0</v>
      </c>
      <c r="D61" s="10">
        <v>1454.99</v>
      </c>
    </row>
    <row r="62" spans="1:4" x14ac:dyDescent="0.25">
      <c r="A62" s="2" t="str">
        <f>"1.1.2.10.15- Cofins a Compensar"</f>
        <v>1.1.2.10.15- Cofins a Compensar</v>
      </c>
      <c r="B62" s="10">
        <v>0.03</v>
      </c>
      <c r="C62" s="10">
        <v>0.01</v>
      </c>
      <c r="D62" s="10">
        <v>0.04</v>
      </c>
    </row>
    <row r="63" spans="1:4" x14ac:dyDescent="0.25">
      <c r="A63" s="2" t="str">
        <f>"1.1.2.10.16- PIS a Compensar"</f>
        <v>1.1.2.10.16- PIS a Compensar</v>
      </c>
      <c r="B63" s="10">
        <v>0.03</v>
      </c>
      <c r="C63" s="10">
        <v>-0.01</v>
      </c>
      <c r="D63" s="10">
        <v>0.02</v>
      </c>
    </row>
    <row r="64" spans="1:4" x14ac:dyDescent="0.25">
      <c r="A64" s="2" t="str">
        <f>"1.1.2.10.20- V.M.A PIS a Recuperar"</f>
        <v>1.1.2.10.20- V.M.A PIS a Recuperar</v>
      </c>
      <c r="B64" s="10">
        <v>1531.7</v>
      </c>
      <c r="C64" s="10">
        <v>30.36</v>
      </c>
      <c r="D64" s="10">
        <v>1562.06</v>
      </c>
    </row>
    <row r="65" spans="1:4" x14ac:dyDescent="0.25">
      <c r="A65" s="2" t="str">
        <f>"1.1.2.10.21- V.M.A IRRF a Compensar"</f>
        <v>1.1.2.10.21- V.M.A IRRF a Compensar</v>
      </c>
      <c r="B65" s="10">
        <v>517.72</v>
      </c>
      <c r="C65" s="10">
        <v>7.55</v>
      </c>
      <c r="D65" s="10">
        <v>525.27</v>
      </c>
    </row>
    <row r="66" spans="1:4" x14ac:dyDescent="0.25">
      <c r="A66" s="2" t="str">
        <f>"1.1.2.10.22- V.M.A COFINS a Compensar"</f>
        <v>1.1.2.10.22- V.M.A COFINS a Compensar</v>
      </c>
      <c r="B66" s="10">
        <v>5492.64</v>
      </c>
      <c r="C66" s="10">
        <v>17.510000000000002</v>
      </c>
      <c r="D66" s="10">
        <v>5510.15</v>
      </c>
    </row>
    <row r="67" spans="1:4" x14ac:dyDescent="0.25">
      <c r="A67" s="2" t="str">
        <f>"1.1.2.10.25- INSS a recuperar segurados"</f>
        <v>1.1.2.10.25- INSS a recuperar segurados</v>
      </c>
      <c r="B67" s="10">
        <v>108263.77</v>
      </c>
      <c r="C67" s="10">
        <v>0</v>
      </c>
      <c r="D67" s="10">
        <v>108263.77</v>
      </c>
    </row>
    <row r="68" spans="1:4" x14ac:dyDescent="0.25">
      <c r="A68" s="2" t="str">
        <f>"1.1.2.11.00- DESPESAS ANTECIPADAS"</f>
        <v>1.1.2.11.00- DESPESAS ANTECIPADAS</v>
      </c>
      <c r="B68" s="10">
        <v>4727.33</v>
      </c>
      <c r="C68" s="10">
        <v>-690.41</v>
      </c>
      <c r="D68" s="10">
        <v>4036.92</v>
      </c>
    </row>
    <row r="69" spans="1:4" x14ac:dyDescent="0.25">
      <c r="A69" s="2" t="str">
        <f>"1.1.2.11.01- Premios de Seguros a Vencer"</f>
        <v>1.1.2.11.01- Premios de Seguros a Vencer</v>
      </c>
      <c r="B69" s="10">
        <v>4727.33</v>
      </c>
      <c r="C69" s="10">
        <v>-690.41</v>
      </c>
      <c r="D69" s="10">
        <v>4036.92</v>
      </c>
    </row>
    <row r="70" spans="1:4" x14ac:dyDescent="0.25">
      <c r="A70" s="2" t="str">
        <f>"1.1.2.12.00- VALORES VINC.A RECEBER-PAMEH"</f>
        <v>1.1.2.12.00- VALORES VINC.A RECEBER-PAMEH</v>
      </c>
      <c r="B70" s="10">
        <v>782199.55</v>
      </c>
      <c r="C70" s="10">
        <v>-22013.81</v>
      </c>
      <c r="D70" s="10">
        <v>760185.74</v>
      </c>
    </row>
    <row r="71" spans="1:4" x14ac:dyDescent="0.25">
      <c r="A71" s="2" t="str">
        <f>"1.1.2.12.01- Valores Vinculados-PAMEH"</f>
        <v>1.1.2.12.01- Valores Vinculados-PAMEH</v>
      </c>
      <c r="B71" s="10">
        <v>782199.55</v>
      </c>
      <c r="C71" s="10">
        <v>-22013.81</v>
      </c>
      <c r="D71" s="10">
        <v>760185.74</v>
      </c>
    </row>
    <row r="72" spans="1:4" x14ac:dyDescent="0.25">
      <c r="A72" s="2" t="str">
        <f>"1.1.2.14.00- CONTAS TRANSITORIAS - GRUPO ATIVO"</f>
        <v>1.1.2.14.00- CONTAS TRANSITORIAS - GRUPO ATIVO</v>
      </c>
      <c r="B72" s="10">
        <v>246400.01</v>
      </c>
      <c r="C72" s="10">
        <v>42254.720000000001</v>
      </c>
      <c r="D72" s="10">
        <v>288654.73</v>
      </c>
    </row>
    <row r="73" spans="1:4" x14ac:dyDescent="0.25">
      <c r="A73" s="2" t="str">
        <f>"1.1.2.14.05- Transitoria Folha de Pagamento"</f>
        <v>1.1.2.14.05- Transitoria Folha de Pagamento</v>
      </c>
      <c r="B73" s="10">
        <v>246400.01</v>
      </c>
      <c r="C73" s="10">
        <v>42254.720000000001</v>
      </c>
      <c r="D73" s="10">
        <v>288654.73</v>
      </c>
    </row>
    <row r="74" spans="1:4" x14ac:dyDescent="0.25">
      <c r="A74" s="2" t="str">
        <f>"1.1.2.15.00- CARNE ESTACIONAMENTO ROTATIVO"</f>
        <v>1.1.2.15.00- CARNE ESTACIONAMENTO ROTATIVO</v>
      </c>
      <c r="B74" s="10">
        <v>52237.16</v>
      </c>
      <c r="C74" s="10">
        <v>91529.72</v>
      </c>
      <c r="D74" s="10">
        <v>143766.88</v>
      </c>
    </row>
    <row r="75" spans="1:4" x14ac:dyDescent="0.25">
      <c r="A75" s="2" t="str">
        <f>"1.1.2.15.01- Carne Rotativo"</f>
        <v>1.1.2.15.01- Carne Rotativo</v>
      </c>
      <c r="B75" s="10">
        <v>52237.16</v>
      </c>
      <c r="C75" s="10">
        <v>91529.72</v>
      </c>
      <c r="D75" s="10">
        <v>143766.88</v>
      </c>
    </row>
    <row r="76" spans="1:4" x14ac:dyDescent="0.25">
      <c r="A76" s="2" t="str">
        <f>"1.2.0.00.00- ATIVO NAO CIRCULANTE"</f>
        <v>1.2.0.00.00- ATIVO NAO CIRCULANTE</v>
      </c>
      <c r="B76" s="10">
        <v>21322292.16</v>
      </c>
      <c r="C76" s="10">
        <v>340778.84</v>
      </c>
      <c r="D76" s="10">
        <v>21663071</v>
      </c>
    </row>
    <row r="77" spans="1:4" x14ac:dyDescent="0.25">
      <c r="A77" s="2" t="str">
        <f>"1.2.1.00.00- REALIZAVEL A LONGO PRAZO"</f>
        <v>1.2.1.00.00- REALIZAVEL A LONGO PRAZO</v>
      </c>
      <c r="B77" s="10">
        <v>19318105.469999999</v>
      </c>
      <c r="C77" s="10">
        <v>338840.89</v>
      </c>
      <c r="D77" s="10">
        <v>19656946.359999999</v>
      </c>
    </row>
    <row r="78" spans="1:4" x14ac:dyDescent="0.25">
      <c r="A78" s="2" t="str">
        <f>"1.2.1.01.00- CREDITOS E VALORES A RECEBER"</f>
        <v>1.2.1.01.00- CREDITOS E VALORES A RECEBER</v>
      </c>
      <c r="B78" s="10">
        <v>19318105.469999999</v>
      </c>
      <c r="C78" s="10">
        <v>338840.89</v>
      </c>
      <c r="D78" s="10">
        <v>19656946.359999999</v>
      </c>
    </row>
    <row r="79" spans="1:4" x14ac:dyDescent="0.25">
      <c r="A79" s="2" t="str">
        <f>"1.2.1.01.01- Depositos Judiciais"</f>
        <v>1.2.1.01.01- Depositos Judiciais</v>
      </c>
      <c r="B79" s="10">
        <v>6802650.4900000002</v>
      </c>
      <c r="C79" s="10">
        <v>338840.89</v>
      </c>
      <c r="D79" s="10">
        <v>7141491.3799999999</v>
      </c>
    </row>
    <row r="80" spans="1:4" x14ac:dyDescent="0.25">
      <c r="A80" s="2" t="str">
        <f>"1.2.1.01.03- Depositos Judiciais de Terceiros"</f>
        <v>1.2.1.01.03- Depositos Judiciais de Terceiros</v>
      </c>
      <c r="B80" s="10">
        <v>925087.39</v>
      </c>
      <c r="C80" s="10">
        <v>0</v>
      </c>
      <c r="D80" s="10">
        <v>925087.39</v>
      </c>
    </row>
    <row r="81" spans="1:4" x14ac:dyDescent="0.25">
      <c r="A81" s="2" t="str">
        <f>"1.2.1.01.04- Convenio Prefeitura Betim"</f>
        <v>1.2.1.01.04- Convenio Prefeitura Betim</v>
      </c>
      <c r="B81" s="10">
        <v>891.18</v>
      </c>
      <c r="C81" s="10">
        <v>0</v>
      </c>
      <c r="D81" s="10">
        <v>891.18</v>
      </c>
    </row>
    <row r="82" spans="1:4" x14ac:dyDescent="0.25">
      <c r="A82" s="2" t="str">
        <f>"1.2.1.01.05- Convenio IPSEMG"</f>
        <v>1.2.1.01.05- Convenio IPSEMG</v>
      </c>
      <c r="B82" s="10">
        <v>21163.53</v>
      </c>
      <c r="C82" s="10">
        <v>0</v>
      </c>
      <c r="D82" s="10">
        <v>21163.53</v>
      </c>
    </row>
    <row r="83" spans="1:4" x14ac:dyDescent="0.25">
      <c r="A83" s="2" t="str">
        <f>"1.2.1.01.06- Multas Transporte Coletivo"</f>
        <v>1.2.1.01.06- Multas Transporte Coletivo</v>
      </c>
      <c r="B83" s="10">
        <v>12853680.960000001</v>
      </c>
      <c r="C83" s="10">
        <v>0</v>
      </c>
      <c r="D83" s="10">
        <v>12853680.960000001</v>
      </c>
    </row>
    <row r="84" spans="1:4" x14ac:dyDescent="0.25">
      <c r="A84" s="2" t="str">
        <f>"1.2.1.01.07- (-) Provisao para Perdas"</f>
        <v>1.2.1.01.07- (-) Provisao para Perdas</v>
      </c>
      <c r="B84" s="10">
        <v>-1285368.08</v>
      </c>
      <c r="C84" s="10">
        <v>0</v>
      </c>
      <c r="D84" s="10">
        <v>-1285368.08</v>
      </c>
    </row>
    <row r="85" spans="1:4" x14ac:dyDescent="0.25">
      <c r="A85" s="2" t="str">
        <f>"1.3.1.00.00- INVESTIMENTOS"</f>
        <v>1.3.1.00.00- INVESTIMENTOS</v>
      </c>
      <c r="B85" s="10">
        <v>26070</v>
      </c>
      <c r="C85" s="10">
        <v>0</v>
      </c>
      <c r="D85" s="10">
        <v>26070</v>
      </c>
    </row>
    <row r="86" spans="1:4" x14ac:dyDescent="0.25">
      <c r="A86" s="2" t="str">
        <f>"1.3.1.01.00- OUTROS INVESTIMENTOS"</f>
        <v>1.3.1.01.00- OUTROS INVESTIMENTOS</v>
      </c>
      <c r="B86" s="10">
        <v>26070</v>
      </c>
      <c r="C86" s="10">
        <v>0</v>
      </c>
      <c r="D86" s="10">
        <v>26070</v>
      </c>
    </row>
    <row r="87" spans="1:4" x14ac:dyDescent="0.25">
      <c r="A87" s="2" t="str">
        <f>"1.3.1.01.01- Obras de Arte"</f>
        <v>1.3.1.01.01- Obras de Arte</v>
      </c>
      <c r="B87" s="10">
        <v>25200</v>
      </c>
      <c r="C87" s="10">
        <v>0</v>
      </c>
      <c r="D87" s="10">
        <v>25200</v>
      </c>
    </row>
    <row r="88" spans="1:4" x14ac:dyDescent="0.25">
      <c r="A88" s="2" t="str">
        <f>"1.3.1.01.02- Participações Societárias - PBH ATIVOS"</f>
        <v>1.3.1.01.02- Participações Societárias - PBH ATIVOS</v>
      </c>
      <c r="B88" s="10">
        <v>870</v>
      </c>
      <c r="C88" s="10">
        <v>0</v>
      </c>
      <c r="D88" s="10">
        <v>870</v>
      </c>
    </row>
    <row r="89" spans="1:4" x14ac:dyDescent="0.25">
      <c r="A89" s="2" t="str">
        <f>"1.3.2.00.00- IMOBILIZADO"</f>
        <v>1.3.2.00.00- IMOBILIZADO</v>
      </c>
      <c r="B89" s="10">
        <v>7758094.25</v>
      </c>
      <c r="C89" s="10">
        <v>22846.12</v>
      </c>
      <c r="D89" s="10">
        <v>7780940.3700000001</v>
      </c>
    </row>
    <row r="90" spans="1:4" x14ac:dyDescent="0.25">
      <c r="A90" s="2" t="str">
        <f>"1.3.2.01.01- Maquinas e equipamentos"</f>
        <v>1.3.2.01.01- Maquinas e equipamentos</v>
      </c>
      <c r="B90" s="10">
        <v>241624.95999999999</v>
      </c>
      <c r="C90" s="10">
        <v>1547.12</v>
      </c>
      <c r="D90" s="10">
        <v>243172.08</v>
      </c>
    </row>
    <row r="91" spans="1:4" x14ac:dyDescent="0.25">
      <c r="A91" s="2" t="str">
        <f>"1.3.2.02.01- Ferramentas"</f>
        <v>1.3.2.02.01- Ferramentas</v>
      </c>
      <c r="B91" s="10">
        <v>9104.81</v>
      </c>
      <c r="C91" s="10">
        <v>0</v>
      </c>
      <c r="D91" s="10">
        <v>9104.81</v>
      </c>
    </row>
    <row r="92" spans="1:4" x14ac:dyDescent="0.25">
      <c r="A92" s="2" t="str">
        <f>"1.3.2.03.01- Equipamentos de comunicacao"</f>
        <v>1.3.2.03.01- Equipamentos de comunicacao</v>
      </c>
      <c r="B92" s="10">
        <v>172167.01</v>
      </c>
      <c r="C92" s="10">
        <v>0</v>
      </c>
      <c r="D92" s="10">
        <v>172167.01</v>
      </c>
    </row>
    <row r="93" spans="1:4" x14ac:dyDescent="0.25">
      <c r="A93" s="2" t="str">
        <f>"1.3.2.04.01- Instalacoes"</f>
        <v>1.3.2.04.01- Instalacoes</v>
      </c>
      <c r="B93" s="10">
        <v>85222.9</v>
      </c>
      <c r="C93" s="10">
        <v>0</v>
      </c>
      <c r="D93" s="10">
        <v>85222.9</v>
      </c>
    </row>
    <row r="94" spans="1:4" x14ac:dyDescent="0.25">
      <c r="A94" s="2" t="str">
        <f>"1.3.2.06.01- Moveis e utensilios"</f>
        <v>1.3.2.06.01- Moveis e utensilios</v>
      </c>
      <c r="B94" s="10">
        <v>541731.43999999994</v>
      </c>
      <c r="C94" s="10">
        <v>0</v>
      </c>
      <c r="D94" s="10">
        <v>541731.43999999994</v>
      </c>
    </row>
    <row r="95" spans="1:4" x14ac:dyDescent="0.25">
      <c r="A95" s="2" t="str">
        <f>"1.3.2.08.01- Instalacoes administrativas"</f>
        <v>1.3.2.08.01- Instalacoes administrativas</v>
      </c>
      <c r="B95" s="10">
        <v>99146.34</v>
      </c>
      <c r="C95" s="10">
        <v>0</v>
      </c>
      <c r="D95" s="10">
        <v>99146.34</v>
      </c>
    </row>
    <row r="96" spans="1:4" x14ac:dyDescent="0.25">
      <c r="A96" s="2" t="str">
        <f>"1.3.2.09.01- Aparelhos/equipamentos diversos"</f>
        <v>1.3.2.09.01- Aparelhos/equipamentos diversos</v>
      </c>
      <c r="B96" s="10">
        <v>650934.13</v>
      </c>
      <c r="C96" s="10">
        <v>2150</v>
      </c>
      <c r="D96" s="10">
        <v>653084.13</v>
      </c>
    </row>
    <row r="97" spans="1:4" x14ac:dyDescent="0.25">
      <c r="A97" s="2" t="str">
        <f>"1.3.2.10.01- Equip. p/ processamento de dados"</f>
        <v>1.3.2.10.01- Equip. p/ processamento de dados</v>
      </c>
      <c r="B97" s="10">
        <v>1550246.6</v>
      </c>
      <c r="C97" s="10">
        <v>0</v>
      </c>
      <c r="D97" s="10">
        <v>1550246.6</v>
      </c>
    </row>
    <row r="98" spans="1:4" x14ac:dyDescent="0.25">
      <c r="A98" s="2" t="str">
        <f>"1.3.2.12.01- Micros/impressoras e acessorios"</f>
        <v>1.3.2.12.01- Micros/impressoras e acessorios</v>
      </c>
      <c r="B98" s="10">
        <v>2690531.68</v>
      </c>
      <c r="C98" s="10">
        <v>19149</v>
      </c>
      <c r="D98" s="10">
        <v>2709680.68</v>
      </c>
    </row>
    <row r="99" spans="1:4" x14ac:dyDescent="0.25">
      <c r="A99" s="2" t="str">
        <f>"1.3.2.13.01- Imobilizacao em imoveis de terceiros"</f>
        <v>1.3.2.13.01- Imobilizacao em imoveis de terceiros</v>
      </c>
      <c r="B99" s="10">
        <v>511539.98</v>
      </c>
      <c r="C99" s="10">
        <v>0</v>
      </c>
      <c r="D99" s="10">
        <v>511539.98</v>
      </c>
    </row>
    <row r="100" spans="1:4" x14ac:dyDescent="0.25">
      <c r="A100" s="2" t="str">
        <f>"1.3.2.14.01- Estacao Diamante"</f>
        <v>1.3.2.14.01- Estacao Diamante</v>
      </c>
      <c r="B100" s="10">
        <v>1162384.46</v>
      </c>
      <c r="C100" s="10">
        <v>0</v>
      </c>
      <c r="D100" s="10">
        <v>1162384.46</v>
      </c>
    </row>
    <row r="101" spans="1:4" x14ac:dyDescent="0.25">
      <c r="A101" s="2" t="str">
        <f>"1.3.2.15.00- IMOBILIZACOES EM ANDAMENTO"</f>
        <v>1.3.2.15.00- IMOBILIZACOES EM ANDAMENTO</v>
      </c>
      <c r="B101" s="10">
        <v>43459.94</v>
      </c>
      <c r="C101" s="10">
        <v>0</v>
      </c>
      <c r="D101" s="10">
        <v>43459.94</v>
      </c>
    </row>
    <row r="102" spans="1:4" x14ac:dyDescent="0.25">
      <c r="A102" s="2" t="str">
        <f>"1.3.2.15.01- Construcoes em Andamento"</f>
        <v>1.3.2.15.01- Construcoes em Andamento</v>
      </c>
      <c r="B102" s="10">
        <v>43459.94</v>
      </c>
      <c r="C102" s="10">
        <v>0</v>
      </c>
      <c r="D102" s="10">
        <v>43459.94</v>
      </c>
    </row>
    <row r="103" spans="1:4" x14ac:dyDescent="0.25">
      <c r="A103" s="2" t="str">
        <f>"1.3.3.00.00- INTANGIVEL"</f>
        <v>1.3.3.00.00- INTANGIVEL</v>
      </c>
      <c r="B103" s="10">
        <v>37558</v>
      </c>
      <c r="C103" s="10">
        <v>0</v>
      </c>
      <c r="D103" s="10">
        <v>37558</v>
      </c>
    </row>
    <row r="104" spans="1:4" x14ac:dyDescent="0.25">
      <c r="A104" s="2" t="str">
        <f>"1.3.3.03.00- MARCAS E PATENTES"</f>
        <v>1.3.3.03.00- MARCAS E PATENTES</v>
      </c>
      <c r="B104" s="10">
        <v>404</v>
      </c>
      <c r="C104" s="10">
        <v>404</v>
      </c>
      <c r="D104" s="10">
        <v>808</v>
      </c>
    </row>
    <row r="105" spans="1:4" x14ac:dyDescent="0.25">
      <c r="A105" s="2" t="str">
        <f>"1.3.3.03.01- Marcas e Patentes"</f>
        <v>1.3.3.03.01- Marcas e Patentes</v>
      </c>
      <c r="B105" s="10">
        <v>404</v>
      </c>
      <c r="C105" s="10">
        <v>404</v>
      </c>
      <c r="D105" s="10">
        <v>808</v>
      </c>
    </row>
    <row r="106" spans="1:4" x14ac:dyDescent="0.25">
      <c r="A106" s="2" t="str">
        <f>"1.3.3.04.01- Programas e Sistemas"</f>
        <v>1.3.3.04.01- Programas e Sistemas</v>
      </c>
      <c r="B106" s="10">
        <v>37154</v>
      </c>
      <c r="C106" s="10">
        <v>-404</v>
      </c>
      <c r="D106" s="10">
        <v>36750</v>
      </c>
    </row>
    <row r="107" spans="1:4" x14ac:dyDescent="0.25">
      <c r="A107" s="2" t="str">
        <f>"1.3.5.00.00- ( - )DEPRECIACAO E AMORTIZACAO"</f>
        <v>1.3.5.00.00- ( - )DEPRECIACAO E AMORTIZACAO</v>
      </c>
      <c r="B107" s="10">
        <v>-5817535.5599999996</v>
      </c>
      <c r="C107" s="10">
        <v>-20908.169999999998</v>
      </c>
      <c r="D107" s="10">
        <v>-5838443.7300000004</v>
      </c>
    </row>
    <row r="108" spans="1:4" x14ac:dyDescent="0.25">
      <c r="A108" s="2" t="str">
        <f>"1.3.5.01.00- ( - ) DEPRECIACAO E AMORTIZACAO"</f>
        <v>1.3.5.01.00- ( - ) DEPRECIACAO E AMORTIZACAO</v>
      </c>
      <c r="B108" s="10">
        <v>-5817535.5599999996</v>
      </c>
      <c r="C108" s="10">
        <v>-20908.169999999998</v>
      </c>
      <c r="D108" s="10">
        <v>-5838443.7300000004</v>
      </c>
    </row>
    <row r="109" spans="1:4" x14ac:dyDescent="0.25">
      <c r="A109" s="2" t="str">
        <f>"1.3.5.01.01- ( - ) Moveis e Utensilios"</f>
        <v>1.3.5.01.01- ( - ) Moveis e Utensilios</v>
      </c>
      <c r="B109" s="10">
        <v>-456350.55</v>
      </c>
      <c r="C109" s="10">
        <v>-2400.59</v>
      </c>
      <c r="D109" s="10">
        <v>-458751.14</v>
      </c>
    </row>
    <row r="110" spans="1:4" x14ac:dyDescent="0.25">
      <c r="A110" s="2" t="str">
        <f>"1.3.5.01.02- ( - ) Aparelhos/Equipamentos Diversos"</f>
        <v>1.3.5.01.02- ( - ) Aparelhos/Equipamentos Diversos</v>
      </c>
      <c r="B110" s="10">
        <v>-387012.26</v>
      </c>
      <c r="C110" s="10">
        <v>-4107.9799999999996</v>
      </c>
      <c r="D110" s="10">
        <v>-391120.24</v>
      </c>
    </row>
    <row r="111" spans="1:4" x14ac:dyDescent="0.25">
      <c r="A111" s="2" t="str">
        <f>"1.3.5.01.03- ( - ) Instalacoes Administrativas"</f>
        <v>1.3.5.01.03- ( - ) Instalacoes Administrativas</v>
      </c>
      <c r="B111" s="10">
        <v>-99042.98</v>
      </c>
      <c r="C111" s="10">
        <v>-3.31</v>
      </c>
      <c r="D111" s="10">
        <v>-99046.29</v>
      </c>
    </row>
    <row r="112" spans="1:4" x14ac:dyDescent="0.25">
      <c r="A112" s="2" t="str">
        <f>"1.3.5.01.05- ( - ) Impressoras e Micros"</f>
        <v>1.3.5.01.05- ( - ) Impressoras e Micros</v>
      </c>
      <c r="B112" s="10">
        <v>-3297230.39</v>
      </c>
      <c r="C112" s="10">
        <v>-6480.36</v>
      </c>
      <c r="D112" s="10">
        <v>-3303710.75</v>
      </c>
    </row>
    <row r="113" spans="1:4" x14ac:dyDescent="0.25">
      <c r="A113" s="2" t="str">
        <f>"1.3.5.01.06- ( - ) Maquinas e Equipamentos"</f>
        <v>1.3.5.01.06- ( - ) Maquinas e Equipamentos</v>
      </c>
      <c r="B113" s="10">
        <v>-164791.49</v>
      </c>
      <c r="C113" s="10">
        <v>-1410.96</v>
      </c>
      <c r="D113" s="10">
        <v>-166202.45000000001</v>
      </c>
    </row>
    <row r="114" spans="1:4" x14ac:dyDescent="0.25">
      <c r="A114" s="2" t="str">
        <f>"1.3.5.01.07- ( - ) Equipamentos de Comunicacao"</f>
        <v>1.3.5.01.07- ( - ) Equipamentos de Comunicacao</v>
      </c>
      <c r="B114" s="10">
        <v>-172087.01</v>
      </c>
      <c r="C114" s="10">
        <v>-5</v>
      </c>
      <c r="D114" s="10">
        <v>-172092.01</v>
      </c>
    </row>
    <row r="115" spans="1:4" x14ac:dyDescent="0.25">
      <c r="A115" s="2" t="str">
        <f>"1.3.5.01.08- ( - ) Instalacoes Operacionais"</f>
        <v>1.3.5.01.08- ( - ) Instalacoes Operacionais</v>
      </c>
      <c r="B115" s="10">
        <v>-68001.47</v>
      </c>
      <c r="C115" s="10">
        <v>-250.87</v>
      </c>
      <c r="D115" s="10">
        <v>-68252.34</v>
      </c>
    </row>
    <row r="116" spans="1:4" x14ac:dyDescent="0.25">
      <c r="A116" s="2" t="str">
        <f>"1.3.5.01.09- ( - ) Programas (Softwares)"</f>
        <v>1.3.5.01.09- ( - ) Programas (Softwares)</v>
      </c>
      <c r="B116" s="10">
        <v>-32417.19</v>
      </c>
      <c r="C116" s="10">
        <v>-612.5</v>
      </c>
      <c r="D116" s="10">
        <v>-33029.69</v>
      </c>
    </row>
    <row r="117" spans="1:4" x14ac:dyDescent="0.25">
      <c r="A117" s="2" t="str">
        <f>"1.3.5.01.14- ( - ) Ferramentas"</f>
        <v>1.3.5.01.14- ( - ) Ferramentas</v>
      </c>
      <c r="B117" s="10">
        <v>-7487.23</v>
      </c>
      <c r="C117" s="10">
        <v>-56.85</v>
      </c>
      <c r="D117" s="10">
        <v>-7544.08</v>
      </c>
    </row>
    <row r="118" spans="1:4" x14ac:dyDescent="0.25">
      <c r="A118" s="2" t="str">
        <f>"1.3.5.01.15- ( - ) Imobilizacoes em Imov. Terceiros"</f>
        <v>1.3.5.01.15- ( - ) Imobilizacoes em Imov. Terceiros</v>
      </c>
      <c r="B118" s="10">
        <v>-1133114.99</v>
      </c>
      <c r="C118" s="10">
        <v>-5579.75</v>
      </c>
      <c r="D118" s="10">
        <v>-1138694.74</v>
      </c>
    </row>
    <row r="119" spans="1:4" x14ac:dyDescent="0.25">
      <c r="A119" s="2" t="str">
        <f>""</f>
        <v/>
      </c>
      <c r="B119" s="3" t="str">
        <f>""</f>
        <v/>
      </c>
      <c r="C119" s="3" t="str">
        <f>""</f>
        <v/>
      </c>
      <c r="D119" s="3" t="str">
        <f>""</f>
        <v/>
      </c>
    </row>
    <row r="120" spans="1:4" x14ac:dyDescent="0.25">
      <c r="A120" s="2" t="str">
        <f>"PASSIVO"</f>
        <v>PASSIVO</v>
      </c>
      <c r="B120" s="3" t="str">
        <f>""</f>
        <v/>
      </c>
      <c r="C120" s="3" t="str">
        <f>""</f>
        <v/>
      </c>
      <c r="D120" s="3" t="str">
        <f>""</f>
        <v/>
      </c>
    </row>
    <row r="121" spans="1:4" x14ac:dyDescent="0.25">
      <c r="A121" s="2" t="str">
        <f>"2.0.0.00.00- PASSIVO"</f>
        <v>2.0.0.00.00- PASSIVO</v>
      </c>
      <c r="B121" s="10">
        <v>45307709.780000001</v>
      </c>
      <c r="C121" s="10">
        <v>5963021.8300000001</v>
      </c>
      <c r="D121" s="10">
        <v>51270731.609999999</v>
      </c>
    </row>
    <row r="122" spans="1:4" x14ac:dyDescent="0.25">
      <c r="A122" s="2" t="str">
        <f>"2.1.0.00.00- PASSIVO CIRCULANTE"</f>
        <v>2.1.0.00.00- PASSIVO CIRCULANTE</v>
      </c>
      <c r="B122" s="10">
        <v>74277446.450000003</v>
      </c>
      <c r="C122" s="10">
        <v>6065438.5700000003</v>
      </c>
      <c r="D122" s="10">
        <v>80342885.019999996</v>
      </c>
    </row>
    <row r="123" spans="1:4" x14ac:dyDescent="0.25">
      <c r="A123" s="2" t="str">
        <f>"2.1.1.00.00- OBRIGACOES COM PESSOAL"</f>
        <v>2.1.1.00.00- OBRIGACOES COM PESSOAL</v>
      </c>
      <c r="B123" s="10">
        <v>15226110.1</v>
      </c>
      <c r="C123" s="10">
        <v>3746833.38</v>
      </c>
      <c r="D123" s="10">
        <v>18972943.48</v>
      </c>
    </row>
    <row r="124" spans="1:4" x14ac:dyDescent="0.25">
      <c r="A124" s="2" t="str">
        <f>"2.1.1.01.00- SALARIOS A PAGAR"</f>
        <v>2.1.1.01.00- SALARIOS A PAGAR</v>
      </c>
      <c r="B124" s="10">
        <v>15226110.1</v>
      </c>
      <c r="C124" s="10">
        <v>3746833.38</v>
      </c>
      <c r="D124" s="10">
        <v>18972943.48</v>
      </c>
    </row>
    <row r="125" spans="1:4" x14ac:dyDescent="0.25">
      <c r="A125" s="2" t="str">
        <f>"2.1.1.01.01- Salarios a Pagar"</f>
        <v>2.1.1.01.01- Salarios a Pagar</v>
      </c>
      <c r="B125" s="10">
        <v>5271995.57</v>
      </c>
      <c r="C125" s="10">
        <v>-701648.69</v>
      </c>
      <c r="D125" s="10">
        <v>4570346.88</v>
      </c>
    </row>
    <row r="126" spans="1:4" x14ac:dyDescent="0.25">
      <c r="A126" s="2" t="str">
        <f>"2.1.1.01.02- Provisão 13º Salário"</f>
        <v>2.1.1.01.02- Provisão 13º Salário</v>
      </c>
      <c r="B126" s="10">
        <v>2398949.8199999998</v>
      </c>
      <c r="C126" s="10">
        <v>461361.9</v>
      </c>
      <c r="D126" s="10">
        <v>2860311.72</v>
      </c>
    </row>
    <row r="127" spans="1:4" x14ac:dyDescent="0.25">
      <c r="A127" s="2" t="str">
        <f>"2.1.1.01.03- Ferias a pagar"</f>
        <v>2.1.1.01.03- Ferias a pagar</v>
      </c>
      <c r="B127" s="10">
        <v>65468.63</v>
      </c>
      <c r="C127" s="10">
        <v>125404.08</v>
      </c>
      <c r="D127" s="10">
        <v>190872.71</v>
      </c>
    </row>
    <row r="128" spans="1:4" x14ac:dyDescent="0.25">
      <c r="A128" s="2" t="str">
        <f>"2.1.1.01.05- Rescisoes a Pagar"</f>
        <v>2.1.1.01.05- Rescisoes a Pagar</v>
      </c>
      <c r="B128" s="10">
        <v>1058.96</v>
      </c>
      <c r="C128" s="10">
        <v>567.49</v>
      </c>
      <c r="D128" s="10">
        <v>1626.45</v>
      </c>
    </row>
    <row r="129" spans="1:4" x14ac:dyDescent="0.25">
      <c r="A129" s="2" t="str">
        <f>"2.1.1.01.09- Provisao de Ferias"</f>
        <v>2.1.1.01.09- Provisao de Ferias</v>
      </c>
      <c r="B129" s="10">
        <v>7395159.9699999997</v>
      </c>
      <c r="C129" s="10">
        <v>255825.45</v>
      </c>
      <c r="D129" s="10">
        <v>7650985.4199999999</v>
      </c>
    </row>
    <row r="130" spans="1:4" x14ac:dyDescent="0.25">
      <c r="A130" s="2" t="str">
        <f>"2.1.1.01.11- Indenizações trabalhistas - ACT"</f>
        <v>2.1.1.01.11- Indenizações trabalhistas - ACT</v>
      </c>
      <c r="B130" s="10">
        <v>93477.15</v>
      </c>
      <c r="C130" s="10">
        <v>3605323.15</v>
      </c>
      <c r="D130" s="10">
        <v>3698800.3</v>
      </c>
    </row>
    <row r="131" spans="1:4" x14ac:dyDescent="0.25">
      <c r="A131" s="2" t="str">
        <f>"2.1.2.00.00- OBRIGACOES SOCIAIS A CURTO PRAZO"</f>
        <v>2.1.2.00.00- OBRIGACOES SOCIAIS A CURTO PRAZO</v>
      </c>
      <c r="B131" s="10">
        <v>7226502.7000000002</v>
      </c>
      <c r="C131" s="10">
        <v>-176602.39</v>
      </c>
      <c r="D131" s="10">
        <v>7049900.3099999996</v>
      </c>
    </row>
    <row r="132" spans="1:4" x14ac:dyDescent="0.25">
      <c r="A132" s="2" t="str">
        <f>"2.1.2.01.00- OBRIGACOES SOCIAIS A RECOLHER"</f>
        <v>2.1.2.01.00- OBRIGACOES SOCIAIS A RECOLHER</v>
      </c>
      <c r="B132" s="10">
        <v>7226502.7000000002</v>
      </c>
      <c r="C132" s="10">
        <v>-176602.39</v>
      </c>
      <c r="D132" s="10">
        <v>7049900.3099999996</v>
      </c>
    </row>
    <row r="133" spans="1:4" x14ac:dyDescent="0.25">
      <c r="A133" s="2" t="str">
        <f>"2.1.2.01.01- INSS a recolher s/Folha Pagto"</f>
        <v>2.1.2.01.01- INSS a recolher s/Folha Pagto</v>
      </c>
      <c r="B133" s="10">
        <v>2305402.1800000002</v>
      </c>
      <c r="C133" s="10">
        <v>-80105.27</v>
      </c>
      <c r="D133" s="10">
        <v>2225296.91</v>
      </c>
    </row>
    <row r="134" spans="1:4" x14ac:dyDescent="0.25">
      <c r="A134" s="2" t="str">
        <f>"2.1.2.01.02- FGTS a recolher s/Folha Pagto"</f>
        <v>2.1.2.01.02- FGTS a recolher s/Folha Pagto</v>
      </c>
      <c r="B134" s="10">
        <v>518206.81</v>
      </c>
      <c r="C134" s="10">
        <v>-18718.849999999999</v>
      </c>
      <c r="D134" s="10">
        <v>499487.96</v>
      </c>
    </row>
    <row r="135" spans="1:4" x14ac:dyDescent="0.25">
      <c r="A135" s="2" t="str">
        <f>"2.1.2.01.05- Contribuicao Sindical"</f>
        <v>2.1.2.01.05- Contribuicao Sindical</v>
      </c>
      <c r="B135" s="10">
        <v>8339.0400000000009</v>
      </c>
      <c r="C135" s="10">
        <v>-925.22</v>
      </c>
      <c r="D135" s="10">
        <v>7413.82</v>
      </c>
    </row>
    <row r="136" spans="1:4" x14ac:dyDescent="0.25">
      <c r="A136" s="2" t="str">
        <f>"2.1.2.01.06- INSS s/Provisao de Ferias"</f>
        <v>2.1.2.01.06- INSS s/Provisao de Ferias</v>
      </c>
      <c r="B136" s="10">
        <v>2142912.9900000002</v>
      </c>
      <c r="C136" s="10">
        <v>76117.47</v>
      </c>
      <c r="D136" s="10">
        <v>2219030.46</v>
      </c>
    </row>
    <row r="137" spans="1:4" x14ac:dyDescent="0.25">
      <c r="A137" s="2" t="str">
        <f>"2.1.2.01.07- AEB - Assoc. Empreg. BHTRANS"</f>
        <v>2.1.2.01.07- AEB - Assoc. Empreg. BHTRANS</v>
      </c>
      <c r="B137" s="10">
        <v>4798.79</v>
      </c>
      <c r="C137" s="10">
        <v>56.68</v>
      </c>
      <c r="D137" s="10">
        <v>4855.47</v>
      </c>
    </row>
    <row r="138" spans="1:4" x14ac:dyDescent="0.25">
      <c r="A138" s="2" t="str">
        <f>"2.1.2.01.09- INSS a Recolher s/Autonomos"</f>
        <v>2.1.2.01.09- INSS a Recolher s/Autonomos</v>
      </c>
      <c r="B138" s="10">
        <v>0</v>
      </c>
      <c r="C138" s="10">
        <v>1818.02</v>
      </c>
      <c r="D138" s="10">
        <v>1818.02</v>
      </c>
    </row>
    <row r="139" spans="1:4" x14ac:dyDescent="0.25">
      <c r="A139" s="2" t="str">
        <f>"2.1.2.01.10- INSS s/Provisao de 13.Salario"</f>
        <v>2.1.2.01.10- INSS s/Provisao de 13.Salario</v>
      </c>
      <c r="B139" s="10">
        <v>697171.85</v>
      </c>
      <c r="C139" s="10">
        <v>134168.35</v>
      </c>
      <c r="D139" s="10">
        <v>831340.2</v>
      </c>
    </row>
    <row r="140" spans="1:4" x14ac:dyDescent="0.25">
      <c r="A140" s="2" t="str">
        <f>"2.1.2.01.11- FGTS s/Provisao de 13.Salario"</f>
        <v>2.1.2.01.11- FGTS s/Provisao de 13.Salario</v>
      </c>
      <c r="B140" s="10">
        <v>131874.29</v>
      </c>
      <c r="C140" s="10">
        <v>23986.77</v>
      </c>
      <c r="D140" s="10">
        <v>155861.06</v>
      </c>
    </row>
    <row r="141" spans="1:4" x14ac:dyDescent="0.25">
      <c r="A141" s="2" t="str">
        <f>"2.1.2.01.12- FGTS s/Provisao de Ferias"</f>
        <v>2.1.2.01.12- FGTS s/Provisao de Ferias</v>
      </c>
      <c r="B141" s="10">
        <v>590887.72</v>
      </c>
      <c r="C141" s="10">
        <v>20680.71</v>
      </c>
      <c r="D141" s="10">
        <v>611568.43000000005</v>
      </c>
    </row>
    <row r="142" spans="1:4" x14ac:dyDescent="0.25">
      <c r="A142" s="2" t="str">
        <f>"2.1.2.01.13- Contribuicao ao PAMEH"</f>
        <v>2.1.2.01.13- Contribuicao ao PAMEH</v>
      </c>
      <c r="B142" s="10">
        <v>495921.24</v>
      </c>
      <c r="C142" s="10">
        <v>-23950.92</v>
      </c>
      <c r="D142" s="10">
        <v>471970.32</v>
      </c>
    </row>
    <row r="143" spans="1:4" x14ac:dyDescent="0.25">
      <c r="A143" s="2" t="str">
        <f>"2.1.2.01.15- Crediserv-BH"</f>
        <v>2.1.2.01.15- Crediserv-BH</v>
      </c>
      <c r="B143" s="10">
        <v>19326.080000000002</v>
      </c>
      <c r="C143" s="10">
        <v>408.95</v>
      </c>
      <c r="D143" s="10">
        <v>19735.03</v>
      </c>
    </row>
    <row r="144" spans="1:4" x14ac:dyDescent="0.25">
      <c r="A144" s="2" t="str">
        <f>"2.1.2.01.16- INSS Fonte a Recolher - PJ"</f>
        <v>2.1.2.01.16- INSS Fonte a Recolher - PJ</v>
      </c>
      <c r="B144" s="10">
        <v>310905.64</v>
      </c>
      <c r="C144" s="10">
        <v>-310225.84999999998</v>
      </c>
      <c r="D144" s="10">
        <v>679.79</v>
      </c>
    </row>
    <row r="145" spans="1:4" x14ac:dyDescent="0.25">
      <c r="A145" s="2" t="str">
        <f>"2.1.2.01.18- INSS Fonte a Recolher - P F"</f>
        <v>2.1.2.01.18- INSS Fonte a Recolher - P F</v>
      </c>
      <c r="B145" s="10">
        <v>756.07</v>
      </c>
      <c r="C145" s="10">
        <v>86.77</v>
      </c>
      <c r="D145" s="10">
        <v>842.84</v>
      </c>
    </row>
    <row r="146" spans="1:4" x14ac:dyDescent="0.25">
      <c r="A146" s="2" t="str">
        <f>"2.1.3.00.00- OBRIGACOES FISCAIS A CURTO PRAZO"</f>
        <v>2.1.3.00.00- OBRIGACOES FISCAIS A CURTO PRAZO</v>
      </c>
      <c r="B146" s="10">
        <v>2139276.7999999998</v>
      </c>
      <c r="C146" s="10">
        <v>25025.919999999998</v>
      </c>
      <c r="D146" s="10">
        <v>2164302.7200000002</v>
      </c>
    </row>
    <row r="147" spans="1:4" x14ac:dyDescent="0.25">
      <c r="A147" s="2" t="str">
        <f>"2.1.3.01.00- IMPOSTOS E TAXAS A RECOLHER"</f>
        <v>2.1.3.01.00- IMPOSTOS E TAXAS A RECOLHER</v>
      </c>
      <c r="B147" s="10">
        <v>2139276.7999999998</v>
      </c>
      <c r="C147" s="10">
        <v>25025.919999999998</v>
      </c>
      <c r="D147" s="10">
        <v>2164302.7200000002</v>
      </c>
    </row>
    <row r="148" spans="1:4" x14ac:dyDescent="0.25">
      <c r="A148" s="2" t="str">
        <f>"2.1.3.01.01- IRRF Fonte Folha Pagto"</f>
        <v>2.1.3.01.01- IRRF Fonte Folha Pagto</v>
      </c>
      <c r="B148" s="10">
        <v>767559.3</v>
      </c>
      <c r="C148" s="10">
        <v>-53052.94</v>
      </c>
      <c r="D148" s="10">
        <v>714506.36</v>
      </c>
    </row>
    <row r="149" spans="1:4" x14ac:dyDescent="0.25">
      <c r="A149" s="2" t="str">
        <f>"2.1.3.01.03- IRRF Fonte - Pessoa  Juridica e Física"</f>
        <v>2.1.3.01.03- IRRF Fonte - Pessoa  Juridica e Física</v>
      </c>
      <c r="B149" s="10">
        <v>29713.13</v>
      </c>
      <c r="C149" s="10">
        <v>-26755.96</v>
      </c>
      <c r="D149" s="10">
        <v>2957.17</v>
      </c>
    </row>
    <row r="150" spans="1:4" x14ac:dyDescent="0.25">
      <c r="A150" s="2" t="str">
        <f>"2.1.3.01.05- ISS S/ Faturamento"</f>
        <v>2.1.3.01.05- ISS S/ Faturamento</v>
      </c>
      <c r="B150" s="10">
        <v>2140.19</v>
      </c>
      <c r="C150" s="10">
        <v>454.11</v>
      </c>
      <c r="D150" s="10">
        <v>2594.3000000000002</v>
      </c>
    </row>
    <row r="151" spans="1:4" x14ac:dyDescent="0.25">
      <c r="A151" s="2" t="str">
        <f>"2.1.3.01.07- COFINS a Recolher"</f>
        <v>2.1.3.01.07- COFINS a Recolher</v>
      </c>
      <c r="B151" s="10">
        <v>975367.22</v>
      </c>
      <c r="C151" s="10">
        <v>190745.37</v>
      </c>
      <c r="D151" s="10">
        <v>1166112.5900000001</v>
      </c>
    </row>
    <row r="152" spans="1:4" x14ac:dyDescent="0.25">
      <c r="A152" s="2" t="str">
        <f>"2.1.3.01.08- PIS a Recolher"</f>
        <v>2.1.3.01.08- PIS a Recolher</v>
      </c>
      <c r="B152" s="10">
        <v>211566.93</v>
      </c>
      <c r="C152" s="10">
        <v>41397.67</v>
      </c>
      <c r="D152" s="10">
        <v>252964.6</v>
      </c>
    </row>
    <row r="153" spans="1:4" x14ac:dyDescent="0.25">
      <c r="A153" s="2" t="str">
        <f>"2.1.3.01.09- ISS Fonte a Recolher P.Juridica"</f>
        <v>2.1.3.01.09- ISS Fonte a Recolher P.Juridica</v>
      </c>
      <c r="B153" s="10">
        <v>5489.74</v>
      </c>
      <c r="C153" s="10">
        <v>-1872.1</v>
      </c>
      <c r="D153" s="10">
        <v>3617.64</v>
      </c>
    </row>
    <row r="154" spans="1:4" x14ac:dyDescent="0.25">
      <c r="A154" s="2" t="str">
        <f>"2.1.3.01.12- CSLL-COFINS-PIS - FONTE"</f>
        <v>2.1.3.01.12- CSLL-COFINS-PIS - FONTE</v>
      </c>
      <c r="B154" s="10">
        <v>147440.29</v>
      </c>
      <c r="C154" s="10">
        <v>-125890.23</v>
      </c>
      <c r="D154" s="10">
        <v>21550.06</v>
      </c>
    </row>
    <row r="155" spans="1:4" x14ac:dyDescent="0.25">
      <c r="A155" s="2" t="str">
        <f>"2.1.4.00.00- OUTRAS OBRIGACOES A CURTO PRAZO"</f>
        <v>2.1.4.00.00- OUTRAS OBRIGACOES A CURTO PRAZO</v>
      </c>
      <c r="B155" s="10">
        <v>49637796.600000001</v>
      </c>
      <c r="C155" s="10">
        <v>2473535.27</v>
      </c>
      <c r="D155" s="10">
        <v>52111331.869999997</v>
      </c>
    </row>
    <row r="156" spans="1:4" x14ac:dyDescent="0.25">
      <c r="A156" s="2" t="str">
        <f>"2.1.4.01.00- FORNECEDORES"</f>
        <v>2.1.4.01.00- FORNECEDORES</v>
      </c>
      <c r="B156" s="10">
        <v>3593791.11</v>
      </c>
      <c r="C156" s="10">
        <v>-1867705.08</v>
      </c>
      <c r="D156" s="10">
        <v>1726086.03</v>
      </c>
    </row>
    <row r="157" spans="1:4" x14ac:dyDescent="0.25">
      <c r="A157" s="2" t="str">
        <f>"2.1.4.01.99- Fornecedores"</f>
        <v>2.1.4.01.99- Fornecedores</v>
      </c>
      <c r="B157" s="10">
        <v>3593791.11</v>
      </c>
      <c r="C157" s="10">
        <v>-1867705.08</v>
      </c>
      <c r="D157" s="10">
        <v>1726086.03</v>
      </c>
    </row>
    <row r="158" spans="1:4" x14ac:dyDescent="0.25">
      <c r="A158" s="2" t="str">
        <f>"2.1.4.02.00- CONTAS A PAGAR"</f>
        <v>2.1.4.02.00- CONTAS A PAGAR</v>
      </c>
      <c r="B158" s="10">
        <v>428093.73</v>
      </c>
      <c r="C158" s="10">
        <v>-97828.45</v>
      </c>
      <c r="D158" s="10">
        <v>330265.28000000003</v>
      </c>
    </row>
    <row r="159" spans="1:4" x14ac:dyDescent="0.25">
      <c r="A159" s="2" t="str">
        <f>"2.1.4.02.01- Emprestimo Consignado - Bradesco"</f>
        <v>2.1.4.02.01- Emprestimo Consignado - Bradesco</v>
      </c>
      <c r="B159" s="10">
        <v>128539.32</v>
      </c>
      <c r="C159" s="10">
        <v>4562.92</v>
      </c>
      <c r="D159" s="10">
        <v>133102.24</v>
      </c>
    </row>
    <row r="160" spans="1:4" x14ac:dyDescent="0.25">
      <c r="A160" s="2" t="str">
        <f>"2.1.4.02.03- Emprestimo Consignado - CEF"</f>
        <v>2.1.4.02.03- Emprestimo Consignado - CEF</v>
      </c>
      <c r="B160" s="10">
        <v>25654.67</v>
      </c>
      <c r="C160" s="10">
        <v>-2874.67</v>
      </c>
      <c r="D160" s="10">
        <v>22780</v>
      </c>
    </row>
    <row r="161" spans="1:4" x14ac:dyDescent="0.25">
      <c r="A161" s="2" t="str">
        <f>"2.1.4.02.04- Emprestimo Consignado - B.Brasil"</f>
        <v>2.1.4.02.04- Emprestimo Consignado - B.Brasil</v>
      </c>
      <c r="B161" s="10">
        <v>46118.080000000002</v>
      </c>
      <c r="C161" s="10">
        <v>3928.86</v>
      </c>
      <c r="D161" s="10">
        <v>50046.94</v>
      </c>
    </row>
    <row r="162" spans="1:4" x14ac:dyDescent="0.25">
      <c r="A162" s="2" t="str">
        <f>"2.1.4.02.05- Emprestimo Consignado-Banco Alfa"</f>
        <v>2.1.4.02.05- Emprestimo Consignado-Banco Alfa</v>
      </c>
      <c r="B162" s="10">
        <v>55756.22</v>
      </c>
      <c r="C162" s="10">
        <v>-1114.8800000000001</v>
      </c>
      <c r="D162" s="10">
        <v>54641.34</v>
      </c>
    </row>
    <row r="163" spans="1:4" x14ac:dyDescent="0.25">
      <c r="A163" s="2" t="str">
        <f>"2.1.4.02.07- Emprestimo Consignado - B. Safra"</f>
        <v>2.1.4.02.07- Emprestimo Consignado - B. Safra</v>
      </c>
      <c r="B163" s="10">
        <v>14192.65</v>
      </c>
      <c r="C163" s="10">
        <v>-325</v>
      </c>
      <c r="D163" s="10">
        <v>13867.65</v>
      </c>
    </row>
    <row r="164" spans="1:4" x14ac:dyDescent="0.25">
      <c r="A164" s="2" t="str">
        <f>"2.1.4.02.09- Emprestimo Consignado - BMC"</f>
        <v>2.1.4.02.09- Emprestimo Consignado - BMC</v>
      </c>
      <c r="B164" s="10">
        <v>307.8</v>
      </c>
      <c r="C164" s="10">
        <v>0</v>
      </c>
      <c r="D164" s="10">
        <v>307.8</v>
      </c>
    </row>
    <row r="165" spans="1:4" x14ac:dyDescent="0.25">
      <c r="A165" s="2" t="str">
        <f>"2.1.4.02.10- Cartão - BMG Card"</f>
        <v>2.1.4.02.10- Cartão - BMG Card</v>
      </c>
      <c r="B165" s="10">
        <v>9906.61</v>
      </c>
      <c r="C165" s="10">
        <v>-31.25</v>
      </c>
      <c r="D165" s="10">
        <v>9875.36</v>
      </c>
    </row>
    <row r="166" spans="1:4" x14ac:dyDescent="0.25">
      <c r="A166" s="2" t="str">
        <f>"2.1.4.02.99- Contas a Pagar"</f>
        <v>2.1.4.02.99- Contas a Pagar</v>
      </c>
      <c r="B166" s="10">
        <v>147618.38</v>
      </c>
      <c r="C166" s="10">
        <v>-101974.43</v>
      </c>
      <c r="D166" s="10">
        <v>45643.95</v>
      </c>
    </row>
    <row r="167" spans="1:4" x14ac:dyDescent="0.25">
      <c r="A167" s="2" t="str">
        <f>"2.1.4.03.00- CREDORES DIVERSOS"</f>
        <v>2.1.4.03.00- CREDORES DIVERSOS</v>
      </c>
      <c r="B167" s="10">
        <v>44741101.280000001</v>
      </c>
      <c r="C167" s="10">
        <v>4439068.8</v>
      </c>
      <c r="D167" s="10">
        <v>49180170.079999998</v>
      </c>
    </row>
    <row r="168" spans="1:4" x14ac:dyDescent="0.25">
      <c r="A168" s="2" t="str">
        <f>"2.1.4.03.07- Adiantamento Acionista - Municipio BH"</f>
        <v>2.1.4.03.07- Adiantamento Acionista - Municipio BH</v>
      </c>
      <c r="B168" s="10">
        <v>43598658.469999999</v>
      </c>
      <c r="C168" s="10">
        <v>5581511.6100000003</v>
      </c>
      <c r="D168" s="10">
        <v>49180170.079999998</v>
      </c>
    </row>
    <row r="169" spans="1:4" x14ac:dyDescent="0.25">
      <c r="A169" s="2" t="str">
        <f>"2.1.4.03.17- Adiantamento de Clientes"</f>
        <v>2.1.4.03.17- Adiantamento de Clientes</v>
      </c>
      <c r="B169" s="10">
        <v>1142442.81</v>
      </c>
      <c r="C169" s="10">
        <v>-1142442.81</v>
      </c>
      <c r="D169" s="10">
        <v>0</v>
      </c>
    </row>
    <row r="170" spans="1:4" x14ac:dyDescent="0.25">
      <c r="A170" s="2" t="str">
        <f>"2.1.4.04.00- CAUCAO DE TERCEIROS/LEILAO"</f>
        <v>2.1.4.04.00- CAUCAO DE TERCEIROS/LEILAO</v>
      </c>
      <c r="B170" s="10">
        <v>874810.48</v>
      </c>
      <c r="C170" s="10">
        <v>0</v>
      </c>
      <c r="D170" s="10">
        <v>874810.48</v>
      </c>
    </row>
    <row r="171" spans="1:4" x14ac:dyDescent="0.25">
      <c r="A171" s="2" t="str">
        <f>"2.1.4.04.98- Leilões"</f>
        <v>2.1.4.04.98- Leilões</v>
      </c>
      <c r="B171" s="10">
        <v>554174.49</v>
      </c>
      <c r="C171" s="10">
        <v>0</v>
      </c>
      <c r="D171" s="10">
        <v>554174.49</v>
      </c>
    </row>
    <row r="172" spans="1:4" x14ac:dyDescent="0.25">
      <c r="A172" s="2" t="str">
        <f>"2.1.4.04.99- Caucao de Terceiros"</f>
        <v>2.1.4.04.99- Caucao de Terceiros</v>
      </c>
      <c r="B172" s="10">
        <v>320635.99</v>
      </c>
      <c r="C172" s="10">
        <v>0</v>
      </c>
      <c r="D172" s="10">
        <v>320635.99</v>
      </c>
    </row>
    <row r="173" spans="1:4" x14ac:dyDescent="0.25">
      <c r="A173" s="2" t="str">
        <f>"2.1.6.00.00- OBRIGACOES VINC. A PAGAR-PAMEH"</f>
        <v>2.1.6.00.00- OBRIGACOES VINC. A PAGAR-PAMEH</v>
      </c>
      <c r="B173" s="10">
        <v>47760.25</v>
      </c>
      <c r="C173" s="10">
        <v>-3353.61</v>
      </c>
      <c r="D173" s="10">
        <v>44406.64</v>
      </c>
    </row>
    <row r="174" spans="1:4" x14ac:dyDescent="0.25">
      <c r="A174" s="2" t="str">
        <f>"2.1.6.01.00- OBRIGACOES VINC. -PAMEH"</f>
        <v>2.1.6.01.00- OBRIGACOES VINC. -PAMEH</v>
      </c>
      <c r="B174" s="10">
        <v>47760.25</v>
      </c>
      <c r="C174" s="10">
        <v>-3353.61</v>
      </c>
      <c r="D174" s="10">
        <v>44406.64</v>
      </c>
    </row>
    <row r="175" spans="1:4" x14ac:dyDescent="0.25">
      <c r="A175" s="2" t="str">
        <f>"2.1.6.01.01- Obrigacoes Vinculadas - PAMEH"</f>
        <v>2.1.6.01.01- Obrigacoes Vinculadas - PAMEH</v>
      </c>
      <c r="B175" s="10">
        <v>47760.25</v>
      </c>
      <c r="C175" s="10">
        <v>-3353.61</v>
      </c>
      <c r="D175" s="10">
        <v>44406.64</v>
      </c>
    </row>
    <row r="176" spans="1:4" x14ac:dyDescent="0.25">
      <c r="A176" s="2" t="str">
        <f>"2.2.0.00.00- PASSIVO NAO CIRCULANTE"</f>
        <v>2.2.0.00.00- PASSIVO NAO CIRCULANTE</v>
      </c>
      <c r="B176" s="10">
        <v>47766938.219999999</v>
      </c>
      <c r="C176" s="10">
        <v>-106030.91</v>
      </c>
      <c r="D176" s="10">
        <v>47660907.310000002</v>
      </c>
    </row>
    <row r="177" spans="1:4" x14ac:dyDescent="0.25">
      <c r="A177" s="2" t="str">
        <f>"2.2.4.00.00- OUTRAS OBRIGACOES A LONGO PRAZO"</f>
        <v>2.2.4.00.00- OUTRAS OBRIGACOES A LONGO PRAZO</v>
      </c>
      <c r="B177" s="10">
        <v>44591704.700000003</v>
      </c>
      <c r="C177" s="10">
        <v>-2318.9699999999998</v>
      </c>
      <c r="D177" s="10">
        <v>44589385.729999997</v>
      </c>
    </row>
    <row r="178" spans="1:4" x14ac:dyDescent="0.25">
      <c r="A178" s="2" t="str">
        <f>"2.2.4.01.00- CREDORES DIVERSOS"</f>
        <v>2.2.4.01.00- CREDORES DIVERSOS</v>
      </c>
      <c r="B178" s="10">
        <v>10868557.66</v>
      </c>
      <c r="C178" s="10">
        <v>0</v>
      </c>
      <c r="D178" s="10">
        <v>10868557.66</v>
      </c>
    </row>
    <row r="179" spans="1:4" x14ac:dyDescent="0.25">
      <c r="A179" s="2" t="str">
        <f>"2.2.4.01.04- Provisão para Contingências Fiscais"</f>
        <v>2.2.4.01.04- Provisão para Contingências Fiscais</v>
      </c>
      <c r="B179" s="10">
        <v>9926702.7200000007</v>
      </c>
      <c r="C179" s="10">
        <v>0</v>
      </c>
      <c r="D179" s="10">
        <v>9926702.7200000007</v>
      </c>
    </row>
    <row r="180" spans="1:4" x14ac:dyDescent="0.25">
      <c r="A180" s="2" t="str">
        <f>"2.2.4.01.05- INSS Segurados"</f>
        <v>2.2.4.01.05- INSS Segurados</v>
      </c>
      <c r="B180" s="10">
        <v>941854.94</v>
      </c>
      <c r="C180" s="10">
        <v>0</v>
      </c>
      <c r="D180" s="10">
        <v>941854.94</v>
      </c>
    </row>
    <row r="181" spans="1:4" x14ac:dyDescent="0.25">
      <c r="A181" s="2" t="str">
        <f>"2.2.4.04.00- ACOES JUDICIAIS E TRABALHISTAS"</f>
        <v>2.2.4.04.00- ACOES JUDICIAIS E TRABALHISTAS</v>
      </c>
      <c r="B181" s="10">
        <v>33723147.039999999</v>
      </c>
      <c r="C181" s="10">
        <v>-2318.9699999999998</v>
      </c>
      <c r="D181" s="10">
        <v>33720828.07</v>
      </c>
    </row>
    <row r="182" spans="1:4" x14ac:dyDescent="0.25">
      <c r="A182" s="2" t="str">
        <f>"2.2.4.04.01- Acoes judiciais"</f>
        <v>2.2.4.04.01- Acoes judiciais</v>
      </c>
      <c r="B182" s="10">
        <v>16494009.210000001</v>
      </c>
      <c r="C182" s="10">
        <v>0</v>
      </c>
      <c r="D182" s="10">
        <v>16494009.210000001</v>
      </c>
    </row>
    <row r="183" spans="1:4" x14ac:dyDescent="0.25">
      <c r="A183" s="2" t="str">
        <f>"2.2.4.04.02- Acoes trabalhistas"</f>
        <v>2.2.4.04.02- Acoes trabalhistas</v>
      </c>
      <c r="B183" s="10">
        <v>17229137.829999998</v>
      </c>
      <c r="C183" s="10">
        <v>-2318.9699999999998</v>
      </c>
      <c r="D183" s="10">
        <v>17226818.859999999</v>
      </c>
    </row>
    <row r="184" spans="1:4" x14ac:dyDescent="0.25">
      <c r="A184" s="2" t="str">
        <f>"2.2.5.00.00- OBRIGACOES VINC.  AO PAMEH"</f>
        <v>2.2.5.00.00- OBRIGACOES VINC.  AO PAMEH</v>
      </c>
      <c r="B184" s="10">
        <v>3175233.52</v>
      </c>
      <c r="C184" s="10">
        <v>-103711.94</v>
      </c>
      <c r="D184" s="10">
        <v>3071521.58</v>
      </c>
    </row>
    <row r="185" spans="1:4" x14ac:dyDescent="0.25">
      <c r="A185" s="2" t="str">
        <f>"2.2.5.01.00- OBRIGACOES VINC.  AO PAMEH"</f>
        <v>2.2.5.01.00- OBRIGACOES VINC.  AO PAMEH</v>
      </c>
      <c r="B185" s="10">
        <v>3175233.52</v>
      </c>
      <c r="C185" s="10">
        <v>-103711.94</v>
      </c>
      <c r="D185" s="10">
        <v>3071521.58</v>
      </c>
    </row>
    <row r="186" spans="1:4" x14ac:dyDescent="0.25">
      <c r="A186" s="2" t="str">
        <f>"2.2.5.01.01- Resultado Exerc.Anteriores-PAMEH"</f>
        <v>2.2.5.01.01- Resultado Exerc.Anteriores-PAMEH</v>
      </c>
      <c r="B186" s="10">
        <v>3478307.51</v>
      </c>
      <c r="C186" s="10">
        <v>0</v>
      </c>
      <c r="D186" s="10">
        <v>3478307.51</v>
      </c>
    </row>
    <row r="187" spans="1:4" x14ac:dyDescent="0.25">
      <c r="A187" s="2" t="str">
        <f>"2.2.5.01.02- Resultado deste Exercicio-PAMEH"</f>
        <v>2.2.5.01.02- Resultado deste Exercicio-PAMEH</v>
      </c>
      <c r="B187" s="10">
        <v>-303073.99</v>
      </c>
      <c r="C187" s="10">
        <v>-103711.94</v>
      </c>
      <c r="D187" s="10">
        <v>-406785.93</v>
      </c>
    </row>
    <row r="188" spans="1:4" x14ac:dyDescent="0.25">
      <c r="A188" s="2" t="str">
        <f>"2.4.0.00.00- PATRIMONIO LIQUIDO"</f>
        <v>2.4.0.00.00- PATRIMONIO LIQUIDO</v>
      </c>
      <c r="B188" s="10">
        <v>-76736674.890000001</v>
      </c>
      <c r="C188" s="10">
        <v>3614.17</v>
      </c>
      <c r="D188" s="10">
        <v>-76733060.719999999</v>
      </c>
    </row>
    <row r="189" spans="1:4" x14ac:dyDescent="0.25">
      <c r="A189" s="2" t="str">
        <f>"2.4.1.00.00- CAPITAL SOCIAL"</f>
        <v>2.4.1.00.00- CAPITAL SOCIAL</v>
      </c>
      <c r="B189" s="10">
        <v>67418193.159999996</v>
      </c>
      <c r="C189" s="10">
        <v>0</v>
      </c>
      <c r="D189" s="10">
        <v>67418193.159999996</v>
      </c>
    </row>
    <row r="190" spans="1:4" x14ac:dyDescent="0.25">
      <c r="A190" s="2" t="str">
        <f>"2.4.1.02.00- CAPITAL REALIZADO"</f>
        <v>2.4.1.02.00- CAPITAL REALIZADO</v>
      </c>
      <c r="B190" s="10">
        <v>67418193.159999996</v>
      </c>
      <c r="C190" s="10">
        <v>0</v>
      </c>
      <c r="D190" s="10">
        <v>67418193.159999996</v>
      </c>
    </row>
    <row r="191" spans="1:4" x14ac:dyDescent="0.25">
      <c r="A191" s="2" t="str">
        <f>"2.4.1.02.01- Capital Subscrito"</f>
        <v>2.4.1.02.01- Capital Subscrito</v>
      </c>
      <c r="B191" s="10">
        <v>75000000</v>
      </c>
      <c r="C191" s="10">
        <v>0</v>
      </c>
      <c r="D191" s="10">
        <v>75000000</v>
      </c>
    </row>
    <row r="192" spans="1:4" x14ac:dyDescent="0.25">
      <c r="A192" s="2" t="str">
        <f>"2.4.1.02.04- Capital a Realizar"</f>
        <v>2.4.1.02.04- Capital a Realizar</v>
      </c>
      <c r="B192" s="10">
        <v>-7581806.8399999999</v>
      </c>
      <c r="C192" s="10">
        <v>0</v>
      </c>
      <c r="D192" s="10">
        <v>-7581806.8399999999</v>
      </c>
    </row>
    <row r="193" spans="1:4" x14ac:dyDescent="0.25">
      <c r="A193" s="2" t="str">
        <f>"2.4.3.00.00- RESULTADOS ACUMULADOS"</f>
        <v>2.4.3.00.00- RESULTADOS ACUMULADOS</v>
      </c>
      <c r="B193" s="10">
        <v>-144154868.05000001</v>
      </c>
      <c r="C193" s="10">
        <v>3614.17</v>
      </c>
      <c r="D193" s="10">
        <v>-144151253.88</v>
      </c>
    </row>
    <row r="194" spans="1:4" x14ac:dyDescent="0.25">
      <c r="A194" s="2" t="str">
        <f>"2.4.3.01.00- LUCROS/PREJUIZOS ACUMULADOS"</f>
        <v>2.4.3.01.00- LUCROS/PREJUIZOS ACUMULADOS</v>
      </c>
      <c r="B194" s="10">
        <v>-144154868.05000001</v>
      </c>
      <c r="C194" s="10">
        <v>3614.17</v>
      </c>
      <c r="D194" s="10">
        <v>-144151253.88</v>
      </c>
    </row>
    <row r="195" spans="1:4" x14ac:dyDescent="0.25">
      <c r="A195" s="2" t="str">
        <f>"2.4.3.01.01- Resultados de Exerc. Anteriores"</f>
        <v>2.4.3.01.01- Resultados de Exerc. Anteriores</v>
      </c>
      <c r="B195" s="10">
        <v>-144079394.25</v>
      </c>
      <c r="C195" s="10">
        <v>0</v>
      </c>
      <c r="D195" s="10">
        <v>-144079394.25</v>
      </c>
    </row>
    <row r="196" spans="1:4" x14ac:dyDescent="0.25">
      <c r="A196" s="2" t="str">
        <f>"2.4.3.01.03- Ajuste do Exercicio Anterior"</f>
        <v>2.4.3.01.03- Ajuste do Exercicio Anterior</v>
      </c>
      <c r="B196" s="10">
        <v>-75473.8</v>
      </c>
      <c r="C196" s="10">
        <v>3614.17</v>
      </c>
      <c r="D196" s="10">
        <v>-71859.63</v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"DESPESAS"</f>
        <v>DESPESAS</v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"3.0.0.00.00- DESPESAS"</f>
        <v>3.0.0.00.00- DESPESAS</v>
      </c>
      <c r="B205" s="10">
        <v>67995843.060000002</v>
      </c>
      <c r="C205" s="10">
        <v>15543104.609999999</v>
      </c>
      <c r="D205" s="10">
        <v>83538947.670000002</v>
      </c>
    </row>
    <row r="206" spans="1:4" x14ac:dyDescent="0.25">
      <c r="A206" s="2" t="str">
        <f>"3.1.0.00.00- DESPESAS OPERACIONAIS"</f>
        <v>3.1.0.00.00- DESPESAS OPERACIONAIS</v>
      </c>
      <c r="B206" s="10">
        <v>67995843.060000002</v>
      </c>
      <c r="C206" s="10">
        <v>15543104.609999999</v>
      </c>
      <c r="D206" s="10">
        <v>83538947.670000002</v>
      </c>
    </row>
    <row r="207" spans="1:4" x14ac:dyDescent="0.25">
      <c r="A207" s="2" t="str">
        <f>"3.1.1.00.00- SALARIOS ADICIONAIS E HONORARIOS"</f>
        <v>3.1.1.00.00- SALARIOS ADICIONAIS E HONORARIOS</v>
      </c>
      <c r="B207" s="10">
        <v>34975074.990000002</v>
      </c>
      <c r="C207" s="10">
        <v>10807320.74</v>
      </c>
      <c r="D207" s="10">
        <v>45782395.729999997</v>
      </c>
    </row>
    <row r="208" spans="1:4" x14ac:dyDescent="0.25">
      <c r="A208" s="2" t="str">
        <f>"3.1.1.00.01- Honorarios diretoria"</f>
        <v>3.1.1.00.01- Honorarios diretoria</v>
      </c>
      <c r="B208" s="10">
        <v>469547.96</v>
      </c>
      <c r="C208" s="10">
        <v>89146.42</v>
      </c>
      <c r="D208" s="10">
        <v>558694.38</v>
      </c>
    </row>
    <row r="209" spans="1:4" x14ac:dyDescent="0.25">
      <c r="A209" s="2" t="str">
        <f>"3.1.1.00.02- Honorarios conselho fiscal"</f>
        <v>3.1.1.00.02- Honorarios conselho fiscal</v>
      </c>
      <c r="B209" s="10">
        <v>26557.5</v>
      </c>
      <c r="C209" s="10">
        <v>5311.5</v>
      </c>
      <c r="D209" s="10">
        <v>31869</v>
      </c>
    </row>
    <row r="210" spans="1:4" x14ac:dyDescent="0.25">
      <c r="A210" s="2" t="str">
        <f>"3.1.1.00.03- Honorarios cons. administracao"</f>
        <v>3.1.1.00.03- Honorarios cons. administracao</v>
      </c>
      <c r="B210" s="10">
        <v>49183.8</v>
      </c>
      <c r="C210" s="10">
        <v>10613.71</v>
      </c>
      <c r="D210" s="10">
        <v>59797.51</v>
      </c>
    </row>
    <row r="211" spans="1:4" x14ac:dyDescent="0.25">
      <c r="A211" s="2" t="str">
        <f>"3.1.1.00.04- Salarios e adicionais"</f>
        <v>3.1.1.00.04- Salarios e adicionais</v>
      </c>
      <c r="B211" s="10">
        <v>28267480.93</v>
      </c>
      <c r="C211" s="10">
        <v>5619943.8799999999</v>
      </c>
      <c r="D211" s="10">
        <v>33887424.810000002</v>
      </c>
    </row>
    <row r="212" spans="1:4" x14ac:dyDescent="0.25">
      <c r="A212" s="2" t="str">
        <f>"3.1.1.00.05- Ferias e abono pecuniario"</f>
        <v>3.1.1.00.05- Ferias e abono pecuniario</v>
      </c>
      <c r="B212" s="10">
        <v>3667033.3</v>
      </c>
      <c r="C212" s="10">
        <v>668156.18999999994</v>
      </c>
      <c r="D212" s="10">
        <v>4335189.49</v>
      </c>
    </row>
    <row r="213" spans="1:4" x14ac:dyDescent="0.25">
      <c r="A213" s="2" t="str">
        <f>"3.1.1.00.06- Decimo terceiro salario"</f>
        <v>3.1.1.00.06- Decimo terceiro salario</v>
      </c>
      <c r="B213" s="10">
        <v>2412102.83</v>
      </c>
      <c r="C213" s="10">
        <v>463552.27</v>
      </c>
      <c r="D213" s="10">
        <v>2875655.1</v>
      </c>
    </row>
    <row r="214" spans="1:4" x14ac:dyDescent="0.25">
      <c r="A214" s="2" t="str">
        <f>"3.1.1.00.07- Indenizacoes trabalhistas"</f>
        <v>3.1.1.00.07- Indenizacoes trabalhistas</v>
      </c>
      <c r="B214" s="10">
        <v>16461.669999999998</v>
      </c>
      <c r="C214" s="10">
        <v>0</v>
      </c>
      <c r="D214" s="10">
        <v>16461.669999999998</v>
      </c>
    </row>
    <row r="215" spans="1:4" x14ac:dyDescent="0.25">
      <c r="A215" s="2" t="str">
        <f>"3.1.1.00.08- Bolsas de estagiario"</f>
        <v>3.1.1.00.08- Bolsas de estagiario</v>
      </c>
      <c r="B215" s="10">
        <v>66707</v>
      </c>
      <c r="C215" s="10">
        <v>17516.97</v>
      </c>
      <c r="D215" s="10">
        <v>84223.97</v>
      </c>
    </row>
    <row r="216" spans="1:4" x14ac:dyDescent="0.25">
      <c r="A216" s="2" t="str">
        <f>"3.1.1.00.10- Indenizações trabalhistas - ACT"</f>
        <v>3.1.1.00.10- Indenizações trabalhistas - ACT</v>
      </c>
      <c r="B216" s="10">
        <v>0</v>
      </c>
      <c r="C216" s="10">
        <v>3933079.8</v>
      </c>
      <c r="D216" s="10">
        <v>3933079.8</v>
      </c>
    </row>
    <row r="217" spans="1:4" x14ac:dyDescent="0.25">
      <c r="A217" s="2" t="str">
        <f>"3.1.2.01.00- ENCARGOS SOCIAIS"</f>
        <v>3.1.2.01.00- ENCARGOS SOCIAIS</v>
      </c>
      <c r="B217" s="10">
        <v>12498612.109999999</v>
      </c>
      <c r="C217" s="10">
        <v>2494771.5499999998</v>
      </c>
      <c r="D217" s="10">
        <v>14993383.66</v>
      </c>
    </row>
    <row r="218" spans="1:4" x14ac:dyDescent="0.25">
      <c r="A218" s="2" t="str">
        <f>"3.1.2.01.01- INSS"</f>
        <v>3.1.2.01.01- INSS</v>
      </c>
      <c r="B218" s="10">
        <v>9716636.6199999992</v>
      </c>
      <c r="C218" s="10">
        <v>1950621.16</v>
      </c>
      <c r="D218" s="10">
        <v>11667257.779999999</v>
      </c>
    </row>
    <row r="219" spans="1:4" x14ac:dyDescent="0.25">
      <c r="A219" s="2" t="str">
        <f>"3.1.2.01.02- FGTS"</f>
        <v>3.1.2.01.02- FGTS</v>
      </c>
      <c r="B219" s="10">
        <v>2781975.49</v>
      </c>
      <c r="C219" s="10">
        <v>544150.39</v>
      </c>
      <c r="D219" s="10">
        <v>3326125.88</v>
      </c>
    </row>
    <row r="220" spans="1:4" x14ac:dyDescent="0.25">
      <c r="A220" s="2" t="str">
        <f>"3.1.2.02.00- OUTRAS DESPESAS COM PESSOAL"</f>
        <v>3.1.2.02.00- OUTRAS DESPESAS COM PESSOAL</v>
      </c>
      <c r="B220" s="10">
        <v>6296716.3799999999</v>
      </c>
      <c r="C220" s="10">
        <v>1220224.8500000001</v>
      </c>
      <c r="D220" s="10">
        <v>7516941.2300000004</v>
      </c>
    </row>
    <row r="221" spans="1:4" x14ac:dyDescent="0.25">
      <c r="A221" s="2" t="str">
        <f>"3.1.2.02.01- Seguros de Vida"</f>
        <v>3.1.2.02.01- Seguros de Vida</v>
      </c>
      <c r="B221" s="10">
        <v>49031.7</v>
      </c>
      <c r="C221" s="10">
        <v>7114.07</v>
      </c>
      <c r="D221" s="10">
        <v>56145.77</v>
      </c>
    </row>
    <row r="222" spans="1:4" x14ac:dyDescent="0.25">
      <c r="A222" s="2" t="str">
        <f>"3.1.2.02.02- Ass. Medica Odontologica"</f>
        <v>3.1.2.02.02- Ass. Medica Odontologica</v>
      </c>
      <c r="B222" s="10">
        <v>1646869.42</v>
      </c>
      <c r="C222" s="10">
        <v>406403.76</v>
      </c>
      <c r="D222" s="10">
        <v>2053273.18</v>
      </c>
    </row>
    <row r="223" spans="1:4" x14ac:dyDescent="0.25">
      <c r="A223" s="2" t="str">
        <f>"3.1.2.02.03- Vale Transporte"</f>
        <v>3.1.2.02.03- Vale Transporte</v>
      </c>
      <c r="B223" s="10">
        <v>398359.47</v>
      </c>
      <c r="C223" s="10">
        <v>70422.320000000007</v>
      </c>
      <c r="D223" s="10">
        <v>468781.79</v>
      </c>
    </row>
    <row r="224" spans="1:4" x14ac:dyDescent="0.25">
      <c r="A224" s="2" t="str">
        <f>"3.1.2.02.04- Vale Refeicao/Alimentacao"</f>
        <v>3.1.2.02.04- Vale Refeicao/Alimentacao</v>
      </c>
      <c r="B224" s="10">
        <v>4011480.5</v>
      </c>
      <c r="C224" s="10">
        <v>698212.23</v>
      </c>
      <c r="D224" s="10">
        <v>4709692.7300000004</v>
      </c>
    </row>
    <row r="225" spans="1:4" x14ac:dyDescent="0.25">
      <c r="A225" s="2" t="str">
        <f>"3.1.2.02.05- Compl. Auxilio Doenca"</f>
        <v>3.1.2.02.05- Compl. Auxilio Doenca</v>
      </c>
      <c r="B225" s="10">
        <v>50815.46</v>
      </c>
      <c r="C225" s="10">
        <v>2253.17</v>
      </c>
      <c r="D225" s="10">
        <v>53068.63</v>
      </c>
    </row>
    <row r="226" spans="1:4" x14ac:dyDescent="0.25">
      <c r="A226" s="2" t="str">
        <f>"3.1.2.02.06- Cursos e Treinamentos"</f>
        <v>3.1.2.02.06- Cursos e Treinamentos</v>
      </c>
      <c r="B226" s="10">
        <v>31007.43</v>
      </c>
      <c r="C226" s="10">
        <v>15386.57</v>
      </c>
      <c r="D226" s="10">
        <v>46394</v>
      </c>
    </row>
    <row r="227" spans="1:4" x14ac:dyDescent="0.25">
      <c r="A227" s="2" t="str">
        <f>"3.1.2.02.07- Auxilio Creche"</f>
        <v>3.1.2.02.07- Auxilio Creche</v>
      </c>
      <c r="B227" s="10">
        <v>109152.4</v>
      </c>
      <c r="C227" s="10">
        <v>20432.73</v>
      </c>
      <c r="D227" s="10">
        <v>129585.13</v>
      </c>
    </row>
    <row r="228" spans="1:4" x14ac:dyDescent="0.25">
      <c r="A228" s="2" t="str">
        <f>"3.1.3.00.00- MATERIAIS"</f>
        <v>3.1.3.00.00- MATERIAIS</v>
      </c>
      <c r="B228" s="10">
        <v>403029.61</v>
      </c>
      <c r="C228" s="10">
        <v>86900.03</v>
      </c>
      <c r="D228" s="10">
        <v>489929.64</v>
      </c>
    </row>
    <row r="229" spans="1:4" x14ac:dyDescent="0.25">
      <c r="A229" s="2" t="str">
        <f>"3.1.3.00.01- Bens de natureza permanente"</f>
        <v>3.1.3.00.01- Bens de natureza permanente</v>
      </c>
      <c r="B229" s="10">
        <v>4880.58</v>
      </c>
      <c r="C229" s="10">
        <v>4100</v>
      </c>
      <c r="D229" s="10">
        <v>8980.58</v>
      </c>
    </row>
    <row r="230" spans="1:4" x14ac:dyDescent="0.25">
      <c r="A230" s="2" t="str">
        <f>"3.1.3.00.02- Lampadas e transformadores"</f>
        <v>3.1.3.00.02- Lampadas e transformadores</v>
      </c>
      <c r="B230" s="10">
        <v>8374</v>
      </c>
      <c r="C230" s="10">
        <v>782</v>
      </c>
      <c r="D230" s="10">
        <v>9156</v>
      </c>
    </row>
    <row r="231" spans="1:4" x14ac:dyDescent="0.25">
      <c r="A231" s="2" t="str">
        <f>"3.1.3.00.05- Placas/acessorios/mat.fixacao"</f>
        <v>3.1.3.00.05- Placas/acessorios/mat.fixacao</v>
      </c>
      <c r="B231" s="10">
        <v>605</v>
      </c>
      <c r="C231" s="10">
        <v>0</v>
      </c>
      <c r="D231" s="10">
        <v>605</v>
      </c>
    </row>
    <row r="232" spans="1:4" x14ac:dyDescent="0.25">
      <c r="A232" s="2" t="str">
        <f>"3.1.3.00.08- Material seguranca e uniformes"</f>
        <v>3.1.3.00.08- Material seguranca e uniformes</v>
      </c>
      <c r="B232" s="10">
        <v>2873.64</v>
      </c>
      <c r="C232" s="10">
        <v>495.72</v>
      </c>
      <c r="D232" s="10">
        <v>3369.36</v>
      </c>
    </row>
    <row r="233" spans="1:4" x14ac:dyDescent="0.25">
      <c r="A233" s="2" t="str">
        <f>"3.1.3.00.09- Material limp/conserv/copa/cozin"</f>
        <v>3.1.3.00.09- Material limp/conserv/copa/cozin</v>
      </c>
      <c r="B233" s="10">
        <v>62425.59</v>
      </c>
      <c r="C233" s="10">
        <v>14352.99</v>
      </c>
      <c r="D233" s="10">
        <v>76778.58</v>
      </c>
    </row>
    <row r="234" spans="1:4" x14ac:dyDescent="0.25">
      <c r="A234" s="2" t="str">
        <f>"3.1.3.00.10- Impressos e material de escritorio"</f>
        <v>3.1.3.00.10- Impressos e material de escritorio</v>
      </c>
      <c r="B234" s="10">
        <v>54548.24</v>
      </c>
      <c r="C234" s="10">
        <v>23491.33</v>
      </c>
      <c r="D234" s="10">
        <v>78039.570000000007</v>
      </c>
    </row>
    <row r="235" spans="1:4" x14ac:dyDescent="0.25">
      <c r="A235" s="2" t="str">
        <f>"3.1.3.00.11- Materiais manut. inst. prediais"</f>
        <v>3.1.3.00.11- Materiais manut. inst. prediais</v>
      </c>
      <c r="B235" s="10">
        <v>102283.49</v>
      </c>
      <c r="C235" s="10">
        <v>7259.18</v>
      </c>
      <c r="D235" s="10">
        <v>109542.67</v>
      </c>
    </row>
    <row r="236" spans="1:4" x14ac:dyDescent="0.25">
      <c r="A236" s="2" t="str">
        <f>"3.1.3.00.12- Carnes estacionamento rotativo"</f>
        <v>3.1.3.00.12- Carnes estacionamento rotativo</v>
      </c>
      <c r="B236" s="10">
        <v>148719.64000000001</v>
      </c>
      <c r="C236" s="10">
        <v>20092.78</v>
      </c>
      <c r="D236" s="10">
        <v>168812.42</v>
      </c>
    </row>
    <row r="237" spans="1:4" x14ac:dyDescent="0.25">
      <c r="A237" s="2" t="str">
        <f>"3.1.3.00.15- Materiais e supriment informatic"</f>
        <v>3.1.3.00.15- Materiais e supriment informatic</v>
      </c>
      <c r="B237" s="10">
        <v>17354.43</v>
      </c>
      <c r="C237" s="10">
        <v>3258.78</v>
      </c>
      <c r="D237" s="10">
        <v>20613.21</v>
      </c>
    </row>
    <row r="238" spans="1:4" x14ac:dyDescent="0.25">
      <c r="A238" s="2" t="str">
        <f>"3.1.3.00.17- Comb./lubrificantes"</f>
        <v>3.1.3.00.17- Comb./lubrificantes</v>
      </c>
      <c r="B238" s="10">
        <v>0</v>
      </c>
      <c r="C238" s="10">
        <v>2207.25</v>
      </c>
      <c r="D238" s="10">
        <v>2207.25</v>
      </c>
    </row>
    <row r="239" spans="1:4" x14ac:dyDescent="0.25">
      <c r="A239" s="2" t="str">
        <f>"3.1.3.00.99- Outros materiais"</f>
        <v>3.1.3.00.99- Outros materiais</v>
      </c>
      <c r="B239" s="10">
        <v>965</v>
      </c>
      <c r="C239" s="10">
        <v>10860</v>
      </c>
      <c r="D239" s="10">
        <v>11825</v>
      </c>
    </row>
    <row r="240" spans="1:4" x14ac:dyDescent="0.25">
      <c r="A240" s="2" t="str">
        <f>"3.1.4.00.00- SERVICOS PRESTADOS POR TERCEIROS"</f>
        <v>3.1.4.00.00- SERVICOS PRESTADOS POR TERCEIROS</v>
      </c>
      <c r="B240" s="10">
        <v>9865604.6199999992</v>
      </c>
      <c r="C240" s="10">
        <v>367001.36</v>
      </c>
      <c r="D240" s="10">
        <v>10232605.98</v>
      </c>
    </row>
    <row r="241" spans="1:4" x14ac:dyDescent="0.25">
      <c r="A241" s="2" t="str">
        <f>"3.1.4.00.03- Locacao de equipamentos"</f>
        <v>3.1.4.00.03- Locacao de equipamentos</v>
      </c>
      <c r="B241" s="10">
        <v>18975.599999999999</v>
      </c>
      <c r="C241" s="10">
        <v>6325.2</v>
      </c>
      <c r="D241" s="10">
        <v>25300.799999999999</v>
      </c>
    </row>
    <row r="242" spans="1:4" x14ac:dyDescent="0.25">
      <c r="A242" s="2" t="str">
        <f>"3.1.4.00.08- Servicos de auditoria"</f>
        <v>3.1.4.00.08- Servicos de auditoria</v>
      </c>
      <c r="B242" s="10">
        <v>20358.310000000001</v>
      </c>
      <c r="C242" s="10">
        <v>2908.33</v>
      </c>
      <c r="D242" s="10">
        <v>23266.639999999999</v>
      </c>
    </row>
    <row r="243" spans="1:4" x14ac:dyDescent="0.25">
      <c r="A243" s="2" t="str">
        <f>"3.1.4.00.10- Mao de obra contratada"</f>
        <v>3.1.4.00.10- Mao de obra contratada</v>
      </c>
      <c r="B243" s="10">
        <v>292349.11</v>
      </c>
      <c r="C243" s="10">
        <v>99116.26</v>
      </c>
      <c r="D243" s="10">
        <v>391465.37</v>
      </c>
    </row>
    <row r="244" spans="1:4" x14ac:dyDescent="0.25">
      <c r="A244" s="2" t="str">
        <f>"3.1.4.00.13- Publicidade e divulgacao"</f>
        <v>3.1.4.00.13- Publicidade e divulgacao</v>
      </c>
      <c r="B244" s="10">
        <v>58935.53</v>
      </c>
      <c r="C244" s="10">
        <v>25739.87</v>
      </c>
      <c r="D244" s="10">
        <v>84675.4</v>
      </c>
    </row>
    <row r="245" spans="1:4" x14ac:dyDescent="0.25">
      <c r="A245" s="2" t="str">
        <f>"3.1.4.00.14- Informatica-serv. e/ou locacao"</f>
        <v>3.1.4.00.14- Informatica-serv. e/ou locacao</v>
      </c>
      <c r="B245" s="10">
        <v>568355.65</v>
      </c>
      <c r="C245" s="10">
        <v>203255.69</v>
      </c>
      <c r="D245" s="10">
        <v>771611.34</v>
      </c>
    </row>
    <row r="246" spans="1:4" x14ac:dyDescent="0.25">
      <c r="A246" s="2" t="str">
        <f>"3.1.4.00.15- Outros serv. prestados - PF"</f>
        <v>3.1.4.00.15- Outros serv. prestados - PF</v>
      </c>
      <c r="B246" s="10">
        <v>39670.839999999997</v>
      </c>
      <c r="C246" s="10">
        <v>9090.16</v>
      </c>
      <c r="D246" s="10">
        <v>48761</v>
      </c>
    </row>
    <row r="247" spans="1:4" x14ac:dyDescent="0.25">
      <c r="A247" s="2" t="str">
        <f>"3.1.4.00.16- Outros serv. Prestados - PJ"</f>
        <v>3.1.4.00.16- Outros serv. Prestados - PJ</v>
      </c>
      <c r="B247" s="10">
        <v>98617.5</v>
      </c>
      <c r="C247" s="10">
        <v>32368.57</v>
      </c>
      <c r="D247" s="10">
        <v>130986.07</v>
      </c>
    </row>
    <row r="248" spans="1:4" x14ac:dyDescent="0.25">
      <c r="A248" s="2" t="str">
        <f>"3.1.4.00.17- Servicos postais"</f>
        <v>3.1.4.00.17- Servicos postais</v>
      </c>
      <c r="B248" s="10">
        <v>25944.63</v>
      </c>
      <c r="C248" s="10">
        <v>4553.3100000000004</v>
      </c>
      <c r="D248" s="10">
        <v>30497.94</v>
      </c>
    </row>
    <row r="249" spans="1:4" x14ac:dyDescent="0.25">
      <c r="A249" s="2" t="str">
        <f>"3.1.4.00.18- INSS s/servicos de terceiros"</f>
        <v>3.1.4.00.18- INSS s/servicos de terceiros</v>
      </c>
      <c r="B249" s="10">
        <v>12503.02</v>
      </c>
      <c r="C249" s="10">
        <v>1805.02</v>
      </c>
      <c r="D249" s="10">
        <v>14308.04</v>
      </c>
    </row>
    <row r="250" spans="1:4" x14ac:dyDescent="0.25">
      <c r="A250" s="2" t="str">
        <f>"3.1.4.00.19- Manut. imoveis/instal/equip.oper"</f>
        <v>3.1.4.00.19- Manut. imoveis/instal/equip.oper</v>
      </c>
      <c r="B250" s="10">
        <v>229044.61</v>
      </c>
      <c r="C250" s="10">
        <v>50024.34</v>
      </c>
      <c r="D250" s="10">
        <v>279068.95</v>
      </c>
    </row>
    <row r="251" spans="1:4" x14ac:dyDescent="0.25">
      <c r="A251" s="2" t="str">
        <f>"3.1.4.00.22- Consultoria tec.Operacional"</f>
        <v>3.1.4.00.22- Consultoria tec.Operacional</v>
      </c>
      <c r="B251" s="10">
        <v>2800</v>
      </c>
      <c r="C251" s="10">
        <v>0</v>
      </c>
      <c r="D251" s="10">
        <v>2800</v>
      </c>
    </row>
    <row r="252" spans="1:4" x14ac:dyDescent="0.25">
      <c r="A252" s="2" t="str">
        <f>"3.1.4.00.24- Loc.serv.mensageiro"</f>
        <v>3.1.4.00.24- Loc.serv.mensageiro</v>
      </c>
      <c r="B252" s="10">
        <v>15273.89</v>
      </c>
      <c r="C252" s="10">
        <v>4253.34</v>
      </c>
      <c r="D252" s="10">
        <v>19527.23</v>
      </c>
    </row>
    <row r="253" spans="1:4" x14ac:dyDescent="0.25">
      <c r="A253" s="2" t="str">
        <f>"3.1.4.00.26- Serv.limp.conserv."</f>
        <v>3.1.4.00.26- Serv.limp.conserv.</v>
      </c>
      <c r="B253" s="10">
        <v>7841894.1799999997</v>
      </c>
      <c r="C253" s="10">
        <v>0</v>
      </c>
      <c r="D253" s="10">
        <v>7841894.1799999997</v>
      </c>
    </row>
    <row r="254" spans="1:4" x14ac:dyDescent="0.25">
      <c r="A254" s="2" t="str">
        <f>"3.1.4.00.34- Comissao s/venda rotativo"</f>
        <v>3.1.4.00.34- Comissao s/venda rotativo</v>
      </c>
      <c r="B254" s="10">
        <v>340367.38</v>
      </c>
      <c r="C254" s="10">
        <v>7298.37</v>
      </c>
      <c r="D254" s="10">
        <v>347665.75</v>
      </c>
    </row>
    <row r="255" spans="1:4" x14ac:dyDescent="0.25">
      <c r="A255" s="2" t="str">
        <f>"3.1.4.00.36- (-) Desconto ISSQN conf Lei 9145 serv. P"</f>
        <v>3.1.4.00.36- (-) Desconto ISSQN conf Lei 9145 serv. P</v>
      </c>
      <c r="B255" s="10">
        <v>-136219.01</v>
      </c>
      <c r="C255" s="10">
        <v>-114208.78</v>
      </c>
      <c r="D255" s="10">
        <v>-250427.79</v>
      </c>
    </row>
    <row r="256" spans="1:4" x14ac:dyDescent="0.25">
      <c r="A256" s="2" t="str">
        <f>"3.1.4.00.39- Convênio Guarda Municipal"</f>
        <v>3.1.4.00.39- Convênio Guarda Municipal</v>
      </c>
      <c r="B256" s="10">
        <v>436733.38</v>
      </c>
      <c r="C256" s="10">
        <v>34471.68</v>
      </c>
      <c r="D256" s="10">
        <v>471205.06</v>
      </c>
    </row>
    <row r="257" spans="1:4" x14ac:dyDescent="0.25">
      <c r="A257" s="2" t="str">
        <f>"3.1.5.00.00- TARIFAS PUBLICAS"</f>
        <v>3.1.5.00.00- TARIFAS PUBLICAS</v>
      </c>
      <c r="B257" s="10">
        <v>571090.12</v>
      </c>
      <c r="C257" s="10">
        <v>30858.55</v>
      </c>
      <c r="D257" s="10">
        <v>601948.67000000004</v>
      </c>
    </row>
    <row r="258" spans="1:4" x14ac:dyDescent="0.25">
      <c r="A258" s="2" t="str">
        <f>"3.1.5.00.02- Energia eletrica"</f>
        <v>3.1.5.00.02- Energia eletrica</v>
      </c>
      <c r="B258" s="10">
        <v>430574.87</v>
      </c>
      <c r="C258" s="10">
        <v>0</v>
      </c>
      <c r="D258" s="10">
        <v>430574.87</v>
      </c>
    </row>
    <row r="259" spans="1:4" x14ac:dyDescent="0.25">
      <c r="A259" s="2" t="str">
        <f>"3.1.5.00.03- Telefone"</f>
        <v>3.1.5.00.03- Telefone</v>
      </c>
      <c r="B259" s="10">
        <v>140515.25</v>
      </c>
      <c r="C259" s="10">
        <v>30858.55</v>
      </c>
      <c r="D259" s="10">
        <v>171373.8</v>
      </c>
    </row>
    <row r="260" spans="1:4" x14ac:dyDescent="0.25">
      <c r="A260" s="2" t="str">
        <f>"3.1.6.00.00- DESPESAS TRIBUTARIAS"</f>
        <v>3.1.6.00.00- DESPESAS TRIBUTARIAS</v>
      </c>
      <c r="B260" s="10">
        <v>1147786.21</v>
      </c>
      <c r="C260" s="10">
        <v>280560.69</v>
      </c>
      <c r="D260" s="10">
        <v>1428346.9</v>
      </c>
    </row>
    <row r="261" spans="1:4" x14ac:dyDescent="0.25">
      <c r="A261" s="2" t="str">
        <f>"3.1.6.00.01- Taxas legais"</f>
        <v>3.1.6.00.01- Taxas legais</v>
      </c>
      <c r="B261" s="10">
        <v>21656.1</v>
      </c>
      <c r="C261" s="10">
        <v>0</v>
      </c>
      <c r="D261" s="10">
        <v>21656.1</v>
      </c>
    </row>
    <row r="262" spans="1:4" x14ac:dyDescent="0.25">
      <c r="A262" s="2" t="str">
        <f>"3.1.6.00.03- IOF"</f>
        <v>3.1.6.00.03- IOF</v>
      </c>
      <c r="B262" s="10">
        <v>1178</v>
      </c>
      <c r="C262" s="10">
        <v>0</v>
      </c>
      <c r="D262" s="10">
        <v>1178</v>
      </c>
    </row>
    <row r="263" spans="1:4" x14ac:dyDescent="0.25">
      <c r="A263" s="2" t="str">
        <f>"3.1.6.00.06- PIS"</f>
        <v>3.1.6.00.06- PIS</v>
      </c>
      <c r="B263" s="10">
        <v>192325.3</v>
      </c>
      <c r="C263" s="10">
        <v>48570.76</v>
      </c>
      <c r="D263" s="10">
        <v>240896.06</v>
      </c>
    </row>
    <row r="264" spans="1:4" x14ac:dyDescent="0.25">
      <c r="A264" s="2" t="str">
        <f>"3.1.6.00.07- COFINS"</f>
        <v>3.1.6.00.07- COFINS</v>
      </c>
      <c r="B264" s="10">
        <v>885862.03</v>
      </c>
      <c r="C264" s="10">
        <v>223719.84</v>
      </c>
      <c r="D264" s="10">
        <v>1109581.8700000001</v>
      </c>
    </row>
    <row r="265" spans="1:4" x14ac:dyDescent="0.25">
      <c r="A265" s="2" t="str">
        <f>"3.1.6.00.08- Multas indedutiveis"</f>
        <v>3.1.6.00.08- Multas indedutiveis</v>
      </c>
      <c r="B265" s="10">
        <v>0.84</v>
      </c>
      <c r="C265" s="10">
        <v>0</v>
      </c>
      <c r="D265" s="10">
        <v>0.84</v>
      </c>
    </row>
    <row r="266" spans="1:4" x14ac:dyDescent="0.25">
      <c r="A266" s="2" t="str">
        <f>"3.1.6.00.10- ISS s/faturamento"</f>
        <v>3.1.6.00.10- ISS s/faturamento</v>
      </c>
      <c r="B266" s="10">
        <v>9988.59</v>
      </c>
      <c r="C266" s="10">
        <v>2594.3000000000002</v>
      </c>
      <c r="D266" s="10">
        <v>12582.89</v>
      </c>
    </row>
    <row r="267" spans="1:4" x14ac:dyDescent="0.25">
      <c r="A267" s="2" t="str">
        <f>"3.1.6.00.14- Contrib.entid.classe"</f>
        <v>3.1.6.00.14- Contrib.entid.classe</v>
      </c>
      <c r="B267" s="10">
        <v>22582.32</v>
      </c>
      <c r="C267" s="10">
        <v>0</v>
      </c>
      <c r="D267" s="10">
        <v>22582.32</v>
      </c>
    </row>
    <row r="268" spans="1:4" x14ac:dyDescent="0.25">
      <c r="A268" s="2" t="str">
        <f>"3.1.6.00.15- INSS Serv.terceiros"</f>
        <v>3.1.6.00.15- INSS Serv.terceiros</v>
      </c>
      <c r="B268" s="10">
        <v>7574.47</v>
      </c>
      <c r="C268" s="10">
        <v>3547.66</v>
      </c>
      <c r="D268" s="10">
        <v>11122.13</v>
      </c>
    </row>
    <row r="269" spans="1:4" x14ac:dyDescent="0.25">
      <c r="A269" s="2" t="str">
        <f>"3.1.6.00.17- PIS s/ receitas financeiras"</f>
        <v>3.1.6.00.17- PIS s/ receitas financeiras</v>
      </c>
      <c r="B269" s="10">
        <v>925.17</v>
      </c>
      <c r="C269" s="10">
        <v>297.48</v>
      </c>
      <c r="D269" s="10">
        <v>1222.6500000000001</v>
      </c>
    </row>
    <row r="270" spans="1:4" x14ac:dyDescent="0.25">
      <c r="A270" s="2" t="str">
        <f>"3.1.6.00.18- Cofins s/ receitas financeiras"</f>
        <v>3.1.6.00.18- Cofins s/ receitas financeiras</v>
      </c>
      <c r="B270" s="10">
        <v>5693.39</v>
      </c>
      <c r="C270" s="10">
        <v>1830.65</v>
      </c>
      <c r="D270" s="10">
        <v>7524.04</v>
      </c>
    </row>
    <row r="271" spans="1:4" x14ac:dyDescent="0.25">
      <c r="A271" s="2" t="str">
        <f>"3.1.7.00.00- DESPESAS FINANCEIRAS"</f>
        <v>3.1.7.00.00- DESPESAS FINANCEIRAS</v>
      </c>
      <c r="B271" s="10">
        <v>408047.14</v>
      </c>
      <c r="C271" s="10">
        <v>5047.91</v>
      </c>
      <c r="D271" s="10">
        <v>413095.05</v>
      </c>
    </row>
    <row r="272" spans="1:4" x14ac:dyDescent="0.25">
      <c r="A272" s="2" t="str">
        <f>"3.1.7.01.01- Juros passivos curto prazo"</f>
        <v>3.1.7.01.01- Juros passivos curto prazo</v>
      </c>
      <c r="B272" s="10">
        <v>401468.91</v>
      </c>
      <c r="C272" s="10">
        <v>3958.92</v>
      </c>
      <c r="D272" s="10">
        <v>405427.83</v>
      </c>
    </row>
    <row r="273" spans="1:4" x14ac:dyDescent="0.25">
      <c r="A273" s="2" t="str">
        <f>"3.1.7.01.02- Despesas bancarias"</f>
        <v>3.1.7.01.02- Despesas bancarias</v>
      </c>
      <c r="B273" s="10">
        <v>6578.23</v>
      </c>
      <c r="C273" s="10">
        <v>1088.99</v>
      </c>
      <c r="D273" s="10">
        <v>7667.22</v>
      </c>
    </row>
    <row r="274" spans="1:4" x14ac:dyDescent="0.25">
      <c r="A274" s="2" t="str">
        <f>"3.1.8.00.00- OUTRAS DESPESAS"</f>
        <v>3.1.8.00.00- OUTRAS DESPESAS</v>
      </c>
      <c r="B274" s="10">
        <v>1829881.88</v>
      </c>
      <c r="C274" s="10">
        <v>250418.93</v>
      </c>
      <c r="D274" s="10">
        <v>2080300.81</v>
      </c>
    </row>
    <row r="275" spans="1:4" x14ac:dyDescent="0.25">
      <c r="A275" s="2" t="str">
        <f>"3.1.8.00.01- Despesas de viagem"</f>
        <v>3.1.8.00.01- Despesas de viagem</v>
      </c>
      <c r="B275" s="10">
        <v>46467.519999999997</v>
      </c>
      <c r="C275" s="10">
        <v>2691.51</v>
      </c>
      <c r="D275" s="10">
        <v>49159.03</v>
      </c>
    </row>
    <row r="276" spans="1:4" x14ac:dyDescent="0.25">
      <c r="A276" s="2" t="str">
        <f>"3.1.8.00.05- Depreciacao/amort"</f>
        <v>3.1.8.00.05- Depreciacao/amort</v>
      </c>
      <c r="B276" s="10">
        <v>106493.54</v>
      </c>
      <c r="C276" s="10">
        <v>20908.169999999998</v>
      </c>
      <c r="D276" s="10">
        <v>127401.71</v>
      </c>
    </row>
    <row r="277" spans="1:4" x14ac:dyDescent="0.25">
      <c r="A277" s="2" t="str">
        <f>"3.1.8.00.06- Seguros bens moveis e imoveis"</f>
        <v>3.1.8.00.06- Seguros bens moveis e imoveis</v>
      </c>
      <c r="B277" s="10">
        <v>4379.01</v>
      </c>
      <c r="C277" s="10">
        <v>690.41</v>
      </c>
      <c r="D277" s="10">
        <v>5069.42</v>
      </c>
    </row>
    <row r="278" spans="1:4" x14ac:dyDescent="0.25">
      <c r="A278" s="2" t="str">
        <f>"3.1.8.00.08- Alugueis e condominio"</f>
        <v>3.1.8.00.08- Alugueis e condominio</v>
      </c>
      <c r="B278" s="10">
        <v>25359.05</v>
      </c>
      <c r="C278" s="10">
        <v>5071.8100000000004</v>
      </c>
      <c r="D278" s="10">
        <v>30430.86</v>
      </c>
    </row>
    <row r="279" spans="1:4" x14ac:dyDescent="0.25">
      <c r="A279" s="2" t="str">
        <f>"3.1.8.00.12- Acoes judiciais terceiros"</f>
        <v>3.1.8.00.12- Acoes judiciais terceiros</v>
      </c>
      <c r="B279" s="10">
        <v>66762.289999999994</v>
      </c>
      <c r="C279" s="10">
        <v>7354.75</v>
      </c>
      <c r="D279" s="10">
        <v>74117.039999999994</v>
      </c>
    </row>
    <row r="280" spans="1:4" x14ac:dyDescent="0.25">
      <c r="A280" s="2" t="str">
        <f>"3.1.8.00.17- Gastos com eventos e promocoes"</f>
        <v>3.1.8.00.17- Gastos com eventos e promocoes</v>
      </c>
      <c r="B280" s="10">
        <v>11209.98</v>
      </c>
      <c r="C280" s="10">
        <v>0</v>
      </c>
      <c r="D280" s="10">
        <v>11209.98</v>
      </c>
    </row>
    <row r="281" spans="1:4" x14ac:dyDescent="0.25">
      <c r="A281" s="2" t="str">
        <f>"3.1.8.00.18- Provisao para perdas"</f>
        <v>3.1.8.00.18- Provisao para perdas</v>
      </c>
      <c r="B281" s="10">
        <v>278780.58</v>
      </c>
      <c r="C281" s="10">
        <v>73047.63</v>
      </c>
      <c r="D281" s="10">
        <v>351828.21</v>
      </c>
    </row>
    <row r="282" spans="1:4" x14ac:dyDescent="0.25">
      <c r="A282" s="2" t="str">
        <f>"3.1.8.00.22- Perda tributos a recuperar"</f>
        <v>3.1.8.00.22- Perda tributos a recuperar</v>
      </c>
      <c r="B282" s="10">
        <v>1263645.1299999999</v>
      </c>
      <c r="C282" s="10">
        <v>132310.16</v>
      </c>
      <c r="D282" s="10">
        <v>1395955.29</v>
      </c>
    </row>
    <row r="283" spans="1:4" x14ac:dyDescent="0.25">
      <c r="A283" s="2" t="str">
        <f>"3.1.8.00.23- Custas/Despesas Judiciais"</f>
        <v>3.1.8.00.23- Custas/Despesas Judiciais</v>
      </c>
      <c r="B283" s="10">
        <v>22567.18</v>
      </c>
      <c r="C283" s="10">
        <v>7289.82</v>
      </c>
      <c r="D283" s="10">
        <v>29857</v>
      </c>
    </row>
    <row r="284" spans="1:4" x14ac:dyDescent="0.25">
      <c r="A284" s="2" t="str">
        <f>"3.1.8.00.99- Despesas diversas"</f>
        <v>3.1.8.00.99- Despesas diversas</v>
      </c>
      <c r="B284" s="10">
        <v>4217.6000000000004</v>
      </c>
      <c r="C284" s="10">
        <v>1054.67</v>
      </c>
      <c r="D284" s="10">
        <v>5272.27</v>
      </c>
    </row>
    <row r="285" spans="1:4" x14ac:dyDescent="0.25">
      <c r="A285" s="2" t="str">
        <f>""</f>
        <v/>
      </c>
      <c r="B285" s="3" t="str">
        <f>""</f>
        <v/>
      </c>
      <c r="C285" s="3" t="str">
        <f>""</f>
        <v/>
      </c>
      <c r="D285" s="3" t="str">
        <f>""</f>
        <v/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"RECEITAS"</f>
        <v>RECEITAS</v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"4.0.0.00.00- RECEITAS"</f>
        <v>4.0.0.00.00- RECEITAS</v>
      </c>
      <c r="B296" s="10">
        <v>65285563.259999998</v>
      </c>
      <c r="C296" s="10">
        <v>11105134.4</v>
      </c>
      <c r="D296" s="10">
        <v>76390697.659999996</v>
      </c>
    </row>
    <row r="297" spans="1:4" x14ac:dyDescent="0.25">
      <c r="A297" s="2" t="str">
        <f>"4.1.0.00.00- RECEITAS BHTRANS"</f>
        <v>4.1.0.00.00- RECEITAS BHTRANS</v>
      </c>
      <c r="B297" s="10">
        <v>64482719.789999999</v>
      </c>
      <c r="C297" s="10">
        <v>10957040.68</v>
      </c>
      <c r="D297" s="10">
        <v>75439760.469999999</v>
      </c>
    </row>
    <row r="298" spans="1:4" x14ac:dyDescent="0.25">
      <c r="A298" s="2" t="str">
        <f>"4.1.1.00.00- RECEITAS OPERACIONAIS"</f>
        <v>4.1.1.00.00- RECEITAS OPERACIONAIS</v>
      </c>
      <c r="B298" s="10">
        <v>64212553.920000002</v>
      </c>
      <c r="C298" s="10">
        <v>10914960.4</v>
      </c>
      <c r="D298" s="10">
        <v>75127514.319999993</v>
      </c>
    </row>
    <row r="299" spans="1:4" x14ac:dyDescent="0.25">
      <c r="A299" s="2" t="str">
        <f>"4.1.1.00.05- Midia taxi, escolar e suplementar"</f>
        <v>4.1.1.00.05- Midia taxi, escolar e suplementar</v>
      </c>
      <c r="B299" s="10">
        <v>11575.72</v>
      </c>
      <c r="C299" s="10">
        <v>3505.25</v>
      </c>
      <c r="D299" s="10">
        <v>15080.97</v>
      </c>
    </row>
    <row r="300" spans="1:4" x14ac:dyDescent="0.25">
      <c r="A300" s="2" t="str">
        <f>"4.1.1.00.06- Midia em onibus"</f>
        <v>4.1.1.00.06- Midia em onibus</v>
      </c>
      <c r="B300" s="10">
        <v>276439.89</v>
      </c>
      <c r="C300" s="10">
        <v>56602.63</v>
      </c>
      <c r="D300" s="10">
        <v>333042.52</v>
      </c>
    </row>
    <row r="301" spans="1:4" x14ac:dyDescent="0.25">
      <c r="A301" s="2" t="str">
        <f>"4.1.1.00.07- Midias diversas"</f>
        <v>4.1.1.00.07- Midias diversas</v>
      </c>
      <c r="B301" s="10">
        <v>44832.81</v>
      </c>
      <c r="C301" s="10">
        <v>8104.56</v>
      </c>
      <c r="D301" s="10">
        <v>52937.37</v>
      </c>
    </row>
    <row r="302" spans="1:4" x14ac:dyDescent="0.25">
      <c r="A302" s="2" t="str">
        <f>"4.1.1.00.08- Estacionamento Rotativo"</f>
        <v>4.1.1.00.08- Estacionamento Rotativo</v>
      </c>
      <c r="B302" s="10">
        <v>8496048</v>
      </c>
      <c r="C302" s="10">
        <v>1793029.17</v>
      </c>
      <c r="D302" s="10">
        <v>10289077.17</v>
      </c>
    </row>
    <row r="303" spans="1:4" x14ac:dyDescent="0.25">
      <c r="A303" s="2" t="str">
        <f>"4.1.1.00.10- Transf. financeira PBH"</f>
        <v>4.1.1.00.10- Transf. financeira PBH</v>
      </c>
      <c r="B303" s="10">
        <v>53487149.219999999</v>
      </c>
      <c r="C303" s="10">
        <v>8115686.0199999996</v>
      </c>
      <c r="D303" s="10">
        <v>61602835.240000002</v>
      </c>
    </row>
    <row r="304" spans="1:4" x14ac:dyDescent="0.25">
      <c r="A304" s="2" t="str">
        <f>"4.1.1.00.16- Multas transporte coletivo"</f>
        <v>4.1.1.00.16- Multas transporte coletivo</v>
      </c>
      <c r="B304" s="10">
        <v>1393902.86</v>
      </c>
      <c r="C304" s="10">
        <v>365238.14</v>
      </c>
      <c r="D304" s="10">
        <v>1759141</v>
      </c>
    </row>
    <row r="305" spans="1:4" x14ac:dyDescent="0.25">
      <c r="A305" s="2" t="str">
        <f>"4.1.1.00.17- Multas transporte publico"</f>
        <v>4.1.1.00.17- Multas transporte publico</v>
      </c>
      <c r="B305" s="10">
        <v>277771.78999999998</v>
      </c>
      <c r="C305" s="10">
        <v>87871.62</v>
      </c>
      <c r="D305" s="10">
        <v>365643.41</v>
      </c>
    </row>
    <row r="306" spans="1:4" x14ac:dyDescent="0.25">
      <c r="A306" s="2" t="str">
        <f>"4.1.1.00.19- Subconcessao frotas de taxi"</f>
        <v>4.1.1.00.19- Subconcessao frotas de taxi</v>
      </c>
      <c r="B306" s="10">
        <v>224833.63</v>
      </c>
      <c r="C306" s="10">
        <v>124123.01</v>
      </c>
      <c r="D306" s="10">
        <v>348956.64</v>
      </c>
    </row>
    <row r="307" spans="1:4" x14ac:dyDescent="0.25">
      <c r="A307" s="2" t="str">
        <f>"4.1.1.00.21- Estacionamento Rotativo Digital"</f>
        <v>4.1.1.00.21- Estacionamento Rotativo Digital</v>
      </c>
      <c r="B307" s="10">
        <v>0</v>
      </c>
      <c r="C307" s="10">
        <v>360800</v>
      </c>
      <c r="D307" s="10">
        <v>360800</v>
      </c>
    </row>
    <row r="308" spans="1:4" x14ac:dyDescent="0.25">
      <c r="A308" s="2" t="str">
        <f>"4.1.8.00.00- RECEITAS ALUGUEIS ESTACOES"</f>
        <v>4.1.8.00.00- RECEITAS ALUGUEIS ESTACOES</v>
      </c>
      <c r="B308" s="10">
        <v>270165.87</v>
      </c>
      <c r="C308" s="10">
        <v>42080.28</v>
      </c>
      <c r="D308" s="10">
        <v>312246.15000000002</v>
      </c>
    </row>
    <row r="309" spans="1:4" x14ac:dyDescent="0.25">
      <c r="A309" s="2" t="str">
        <f>"4.1.8.00.01- Alugueis Estacoes"</f>
        <v>4.1.8.00.01- Alugueis Estacoes</v>
      </c>
      <c r="B309" s="10">
        <v>270165.87</v>
      </c>
      <c r="C309" s="10">
        <v>42080.28</v>
      </c>
      <c r="D309" s="10">
        <v>312246.15000000002</v>
      </c>
    </row>
    <row r="310" spans="1:4" x14ac:dyDescent="0.25">
      <c r="A310" s="2" t="str">
        <f>"4.2.0.00.00- RECEITAS FINANCEIRAS"</f>
        <v>4.2.0.00.00- RECEITAS FINANCEIRAS</v>
      </c>
      <c r="B310" s="10">
        <v>142334.79</v>
      </c>
      <c r="C310" s="10">
        <v>45766.239999999998</v>
      </c>
      <c r="D310" s="10">
        <v>188101.03</v>
      </c>
    </row>
    <row r="311" spans="1:4" x14ac:dyDescent="0.25">
      <c r="A311" s="2" t="str">
        <f>"4.2.1.00.00- RECEITAS FINANCEIRAS"</f>
        <v>4.2.1.00.00- RECEITAS FINANCEIRAS</v>
      </c>
      <c r="B311" s="10">
        <v>142055.45000000001</v>
      </c>
      <c r="C311" s="10">
        <v>45710.82</v>
      </c>
      <c r="D311" s="10">
        <v>187766.27</v>
      </c>
    </row>
    <row r="312" spans="1:4" x14ac:dyDescent="0.25">
      <c r="A312" s="2" t="str">
        <f>"4.2.1.00.01- Rendimentos aplic. Financeira"</f>
        <v>4.2.1.00.01- Rendimentos aplic. Financeira</v>
      </c>
      <c r="B312" s="10">
        <v>136571.9</v>
      </c>
      <c r="C312" s="10">
        <v>45451.4</v>
      </c>
      <c r="D312" s="10">
        <v>182023.3</v>
      </c>
    </row>
    <row r="313" spans="1:4" x14ac:dyDescent="0.25">
      <c r="A313" s="2" t="str">
        <f>"4.2.1.00.02- Juros ativos"</f>
        <v>4.2.1.00.02- Juros ativos</v>
      </c>
      <c r="B313" s="10">
        <v>888.06</v>
      </c>
      <c r="C313" s="10">
        <v>259.42</v>
      </c>
      <c r="D313" s="10">
        <v>1147.48</v>
      </c>
    </row>
    <row r="314" spans="1:4" x14ac:dyDescent="0.25">
      <c r="A314" s="2" t="str">
        <f>"4.2.1.00.05- Receitas Financeiras - Convênio"</f>
        <v>4.2.1.00.05- Receitas Financeiras - Convênio</v>
      </c>
      <c r="B314" s="10">
        <v>4595.49</v>
      </c>
      <c r="C314" s="10">
        <v>0</v>
      </c>
      <c r="D314" s="10">
        <v>4595.49</v>
      </c>
    </row>
    <row r="315" spans="1:4" x14ac:dyDescent="0.25">
      <c r="A315" s="2" t="str">
        <f>"4.2.2.00.00- VARIACOES MONETARIAS ATIVAS"</f>
        <v>4.2.2.00.00- VARIACOES MONETARIAS ATIVAS</v>
      </c>
      <c r="B315" s="10">
        <v>279.33999999999997</v>
      </c>
      <c r="C315" s="10">
        <v>55.42</v>
      </c>
      <c r="D315" s="10">
        <v>334.76</v>
      </c>
    </row>
    <row r="316" spans="1:4" x14ac:dyDescent="0.25">
      <c r="A316" s="2" t="str">
        <f>"4.2.2.00.01- Variações monetárias ativas"</f>
        <v>4.2.2.00.01- Variações monetárias ativas</v>
      </c>
      <c r="B316" s="10">
        <v>279.33999999999997</v>
      </c>
      <c r="C316" s="10">
        <v>55.42</v>
      </c>
      <c r="D316" s="10">
        <v>334.76</v>
      </c>
    </row>
    <row r="317" spans="1:4" x14ac:dyDescent="0.25">
      <c r="A317" s="2" t="str">
        <f>"4.3.0.00.00- OUTRAS RECEITAS"</f>
        <v>4.3.0.00.00- OUTRAS RECEITAS</v>
      </c>
      <c r="B317" s="10">
        <v>660508.68000000005</v>
      </c>
      <c r="C317" s="10">
        <v>102327.48</v>
      </c>
      <c r="D317" s="10">
        <v>762836.16</v>
      </c>
    </row>
    <row r="318" spans="1:4" x14ac:dyDescent="0.25">
      <c r="A318" s="2" t="str">
        <f>"4.3.1.00.00- OUTRAS RECEITAS"</f>
        <v>4.3.1.00.00- OUTRAS RECEITAS</v>
      </c>
      <c r="B318" s="10">
        <v>660508.68000000005</v>
      </c>
      <c r="C318" s="10">
        <v>102327.48</v>
      </c>
      <c r="D318" s="10">
        <v>762836.16</v>
      </c>
    </row>
    <row r="319" spans="1:4" x14ac:dyDescent="0.25">
      <c r="A319" s="2" t="str">
        <f>"4.3.1.00.02- Doacoes"</f>
        <v>4.3.1.00.02- Doacoes</v>
      </c>
      <c r="B319" s="10">
        <v>0</v>
      </c>
      <c r="C319" s="10">
        <v>19149</v>
      </c>
      <c r="D319" s="10">
        <v>19149</v>
      </c>
    </row>
    <row r="320" spans="1:4" x14ac:dyDescent="0.25">
      <c r="A320" s="2" t="str">
        <f>"4.3.1.00.04- Receitas Diversas"</f>
        <v>4.3.1.00.04- Receitas Diversas</v>
      </c>
      <c r="B320" s="10">
        <v>501200.8</v>
      </c>
      <c r="C320" s="10">
        <v>63360.62</v>
      </c>
      <c r="D320" s="10">
        <v>564561.42000000004</v>
      </c>
    </row>
    <row r="321" spans="1:4" x14ac:dyDescent="0.25">
      <c r="A321" s="2" t="str">
        <f>"4.3.1.00.07- Concessão de Abrigo de ônibus"</f>
        <v>4.3.1.00.07- Concessão de Abrigo de ônibus</v>
      </c>
      <c r="B321" s="10">
        <v>159307.88</v>
      </c>
      <c r="C321" s="10">
        <v>19817.86</v>
      </c>
      <c r="D321" s="10">
        <v>179125.74</v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ht="15.75" thickBot="1" x14ac:dyDescent="0.3">
      <c r="A346" s="4" t="str">
        <f>"APURACAO DE RESULTADOS"</f>
        <v>APURACAO DE RESULTADOS</v>
      </c>
      <c r="B346" s="5" t="str">
        <f>""</f>
        <v/>
      </c>
      <c r="C346" s="5" t="str">
        <f>""</f>
        <v/>
      </c>
      <c r="D346" s="5" t="str">
        <f>""</f>
        <v/>
      </c>
    </row>
    <row r="347" spans="1:4" x14ac:dyDescent="0.25">
      <c r="A347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11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44122481.600000001</v>
      </c>
      <c r="C4" s="10">
        <v>3564272.83</v>
      </c>
      <c r="D4" s="10">
        <v>47686754.43</v>
      </c>
    </row>
    <row r="5" spans="1:4" x14ac:dyDescent="0.25">
      <c r="A5" s="2" t="str">
        <f>"1.1.0.00.00- ATIVO CIRCULANTE"</f>
        <v>1.1.0.00.00- ATIVO CIRCULANTE</v>
      </c>
      <c r="B5" s="10">
        <v>22459410.600000001</v>
      </c>
      <c r="C5" s="10">
        <v>2028748.89</v>
      </c>
      <c r="D5" s="10">
        <v>24488159.489999998</v>
      </c>
    </row>
    <row r="6" spans="1:4" x14ac:dyDescent="0.25">
      <c r="A6" s="2" t="str">
        <f>"1.1.1.00.00- DISPONIVEL"</f>
        <v>1.1.1.00.00- DISPONIVEL</v>
      </c>
      <c r="B6" s="10">
        <v>12564943</v>
      </c>
      <c r="C6" s="10">
        <v>2336.5300000000002</v>
      </c>
      <c r="D6" s="10">
        <v>12567279.529999999</v>
      </c>
    </row>
    <row r="7" spans="1:4" x14ac:dyDescent="0.25">
      <c r="A7" s="2" t="str">
        <f>"1.1.1.01.00- CAIXA GERAL"</f>
        <v>1.1.1.01.00- CAIXA GERAL</v>
      </c>
      <c r="B7" s="10">
        <v>1080</v>
      </c>
      <c r="C7" s="10">
        <v>520</v>
      </c>
      <c r="D7" s="10">
        <v>1600</v>
      </c>
    </row>
    <row r="8" spans="1:4" x14ac:dyDescent="0.25">
      <c r="A8" s="2" t="str">
        <f>"1.1.1.01.04- Caixa - Georf"</f>
        <v>1.1.1.01.04- Caixa - Georf</v>
      </c>
      <c r="B8" s="10">
        <v>0</v>
      </c>
      <c r="C8" s="10">
        <v>520</v>
      </c>
      <c r="D8" s="10">
        <v>520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600</v>
      </c>
      <c r="C10" s="10">
        <v>0</v>
      </c>
      <c r="D10" s="10">
        <v>600</v>
      </c>
    </row>
    <row r="11" spans="1:4" x14ac:dyDescent="0.25">
      <c r="A11" s="2" t="str">
        <f>"1.1.1.02.00- BANCOS C/MOVIMENTO"</f>
        <v>1.1.1.02.00- BANCOS C/MOVIMENTO</v>
      </c>
      <c r="B11" s="10">
        <v>319224.77</v>
      </c>
      <c r="C11" s="10">
        <v>10295.39</v>
      </c>
      <c r="D11" s="10">
        <v>329520.15999999997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503.59</v>
      </c>
      <c r="C12" s="10">
        <v>1737.27</v>
      </c>
      <c r="D12" s="10">
        <v>2240.86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136531.32999999999</v>
      </c>
      <c r="C13" s="10">
        <v>-85882.4</v>
      </c>
      <c r="D13" s="10">
        <v>50648.93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702.67</v>
      </c>
      <c r="C14" s="10">
        <v>20298.72</v>
      </c>
      <c r="D14" s="10">
        <v>21001.39</v>
      </c>
    </row>
    <row r="15" spans="1:4" x14ac:dyDescent="0.25">
      <c r="A15" s="2" t="str">
        <f>"1.1.1.02.32- Caixa Econômica Federal - 3292-3 Leilão"</f>
        <v>1.1.1.02.32- Caixa Econômica Federal - 3292-3 Leilão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1132.26</v>
      </c>
      <c r="C17" s="10">
        <v>0</v>
      </c>
      <c r="D17" s="10">
        <v>1132.26</v>
      </c>
    </row>
    <row r="18" spans="1:4" x14ac:dyDescent="0.25">
      <c r="A18" s="2" t="str">
        <f>"1.1.1.02.41- Caixa Econômica Federal - 3303-2Rotativo"</f>
        <v>1.1.1.02.41- Caixa Econômica Federal - 3303-2Rotativo</v>
      </c>
      <c r="B18" s="10">
        <v>177688.92</v>
      </c>
      <c r="C18" s="10">
        <v>11765.8</v>
      </c>
      <c r="D18" s="10">
        <v>189454.72</v>
      </c>
    </row>
    <row r="19" spans="1:4" x14ac:dyDescent="0.25">
      <c r="A19" s="2" t="str">
        <f>"1.1.1.02.42- Caixa Econômica Federal - 3304-0Caução"</f>
        <v>1.1.1.02.42- Caixa Econômica Federal - 3304-0Caução</v>
      </c>
      <c r="B19" s="10">
        <v>0</v>
      </c>
      <c r="C19" s="10">
        <v>62640</v>
      </c>
      <c r="D19" s="10">
        <v>62640</v>
      </c>
    </row>
    <row r="20" spans="1:4" x14ac:dyDescent="0.25">
      <c r="A20" s="2" t="str">
        <f>"1.1.1.02.46- Caixa Econômica Federal - 3309-1 Rot int"</f>
        <v>1.1.1.02.46- Caixa Econômica Federal - 3309-1 Rot int</v>
      </c>
      <c r="B20" s="10">
        <v>2464</v>
      </c>
      <c r="C20" s="10">
        <v>-264</v>
      </c>
      <c r="D20" s="10">
        <v>2200</v>
      </c>
    </row>
    <row r="21" spans="1:4" x14ac:dyDescent="0.25">
      <c r="A21" s="2" t="str">
        <f>"1.1.1.02.51- Caixa Econômica Federal -3501-9Leillão17"</f>
        <v>1.1.1.02.51- Caixa Econômica Federal -3501-9Leillão17</v>
      </c>
      <c r="B21" s="10">
        <v>42</v>
      </c>
      <c r="C21" s="10">
        <v>0</v>
      </c>
      <c r="D21" s="10">
        <v>42</v>
      </c>
    </row>
    <row r="22" spans="1:4" x14ac:dyDescent="0.25">
      <c r="A22" s="2" t="str">
        <f>"1.1.1.03.00- APLICACOES FINANCEIRAS"</f>
        <v>1.1.1.03.00- APLICACOES FINANCEIRAS</v>
      </c>
      <c r="B22" s="10">
        <v>10152217.449999999</v>
      </c>
      <c r="C22" s="10">
        <v>249444.92</v>
      </c>
      <c r="D22" s="10">
        <v>10401662.369999999</v>
      </c>
    </row>
    <row r="23" spans="1:4" x14ac:dyDescent="0.25">
      <c r="A23" s="2" t="str">
        <f>"1.1.1.03.23- Caixa Econômica Federal - 3291-5"</f>
        <v>1.1.1.03.23- Caixa Econômica Federal - 3291-5</v>
      </c>
      <c r="B23" s="10">
        <v>8683392.8900000006</v>
      </c>
      <c r="C23" s="10">
        <v>526995.64</v>
      </c>
      <c r="D23" s="10">
        <v>9210388.5299999993</v>
      </c>
    </row>
    <row r="24" spans="1:4" x14ac:dyDescent="0.25">
      <c r="A24" s="2" t="str">
        <f>"1.1.1.03.25- Caixa Econômica Federal - 3292-3 Leilão"</f>
        <v>1.1.1.03.25- Caixa Econômica Federal - 3292-3 Leilão</v>
      </c>
      <c r="B24" s="10">
        <v>74047.95</v>
      </c>
      <c r="C24" s="10">
        <v>375.79</v>
      </c>
      <c r="D24" s="10">
        <v>74423.740000000005</v>
      </c>
    </row>
    <row r="25" spans="1:4" x14ac:dyDescent="0.25">
      <c r="A25" s="2" t="str">
        <f>"1.1.1.03.26- Caixa Econômica Federal - 3295-8Leilão13"</f>
        <v>1.1.1.03.26- Caixa Econômica Federal - 3295-8Leilão13</v>
      </c>
      <c r="B25" s="10">
        <v>202792.89</v>
      </c>
      <c r="C25" s="10">
        <v>1029.1500000000001</v>
      </c>
      <c r="D25" s="10">
        <v>203822.04</v>
      </c>
    </row>
    <row r="26" spans="1:4" x14ac:dyDescent="0.25">
      <c r="A26" s="2" t="str">
        <f>"1.1.1.03.29- Caixa Econômica Federal - 3298-2Leilão15"</f>
        <v>1.1.1.03.29- Caixa Econômica Federal - 3298-2Leilão15</v>
      </c>
      <c r="B26" s="10">
        <v>101072.95</v>
      </c>
      <c r="C26" s="10">
        <v>433.19</v>
      </c>
      <c r="D26" s="10">
        <v>101506.14</v>
      </c>
    </row>
    <row r="27" spans="1:4" x14ac:dyDescent="0.25">
      <c r="A27" s="2" t="str">
        <f>"1.1.1.03.30- Caixa Econômica Federal - 3299-0Leilão16"</f>
        <v>1.1.1.03.30- Caixa Econômica Federal - 3299-0Leilão16</v>
      </c>
      <c r="B27" s="10">
        <v>127556.24</v>
      </c>
      <c r="C27" s="10">
        <v>647.33000000000004</v>
      </c>
      <c r="D27" s="10">
        <v>128203.57</v>
      </c>
    </row>
    <row r="28" spans="1:4" x14ac:dyDescent="0.25">
      <c r="A28" s="2" t="str">
        <f>"1.1.1.03.31- Caixa Econômica Federal - 3300-8Leilão16"</f>
        <v>1.1.1.03.31- Caixa Econômica Federal - 3300-8Leilão16</v>
      </c>
      <c r="B28" s="10">
        <v>45666.22</v>
      </c>
      <c r="C28" s="10">
        <v>195.72</v>
      </c>
      <c r="D28" s="10">
        <v>45861.94</v>
      </c>
    </row>
    <row r="29" spans="1:4" x14ac:dyDescent="0.25">
      <c r="A29" s="2" t="str">
        <f>"1.1.1.03.32- Caixa Econômica - 3301-6 Mídia"</f>
        <v>1.1.1.03.32- Caixa Econômica - 3301-6 Mídia</v>
      </c>
      <c r="B29" s="10">
        <v>84053.27</v>
      </c>
      <c r="C29" s="10">
        <v>424.14</v>
      </c>
      <c r="D29" s="10">
        <v>84477.41</v>
      </c>
    </row>
    <row r="30" spans="1:4" x14ac:dyDescent="0.25">
      <c r="A30" s="2" t="str">
        <f>"1.1.1.03.35- Caixa Econômica - 3304-0Caução"</f>
        <v>1.1.1.03.35- Caixa Econômica - 3304-0Caução</v>
      </c>
      <c r="B30" s="10">
        <v>434635.84</v>
      </c>
      <c r="C30" s="10">
        <v>-280249.59000000003</v>
      </c>
      <c r="D30" s="10">
        <v>154386.25</v>
      </c>
    </row>
    <row r="31" spans="1:4" x14ac:dyDescent="0.25">
      <c r="A31" s="2" t="str">
        <f>"1.1.1.03.36- Caixa Econômica - 3305-9Sucumb."</f>
        <v>1.1.1.03.36- Caixa Econômica - 3305-9Sucumb.</v>
      </c>
      <c r="B31" s="10">
        <v>9465.3799999999992</v>
      </c>
      <c r="C31" s="10">
        <v>38.51</v>
      </c>
      <c r="D31" s="10">
        <v>9503.89</v>
      </c>
    </row>
    <row r="32" spans="1:4" x14ac:dyDescent="0.25">
      <c r="A32" s="2" t="str">
        <f>"1.1.1.03.38- Caixa Econômica - 3308-3Leilão"</f>
        <v>1.1.1.03.38- Caixa Econômica - 3308-3Leilão</v>
      </c>
      <c r="B32" s="10">
        <v>2181.9499999999998</v>
      </c>
      <c r="C32" s="10">
        <v>8.8699999999999992</v>
      </c>
      <c r="D32" s="10">
        <v>2190.8200000000002</v>
      </c>
    </row>
    <row r="33" spans="1:4" x14ac:dyDescent="0.25">
      <c r="A33" s="2" t="str">
        <f>"1.1.1.03.41- Caixa Econômica - 531-0 Aci moto poupanç"</f>
        <v>1.1.1.03.41- Caixa Econômica - 531-0 Aci moto poupanç</v>
      </c>
      <c r="B33" s="10">
        <v>598.11</v>
      </c>
      <c r="C33" s="10">
        <v>5.17</v>
      </c>
      <c r="D33" s="10">
        <v>603.28</v>
      </c>
    </row>
    <row r="34" spans="1:4" x14ac:dyDescent="0.25">
      <c r="A34" s="2" t="str">
        <f>"1.1.1.03.42- Caixa Econômica - 532-9 Acid Ped Poupanç"</f>
        <v>1.1.1.03.42- Caixa Econômica - 532-9 Acid Ped Poupanç</v>
      </c>
      <c r="B34" s="10">
        <v>89225.02</v>
      </c>
      <c r="C34" s="10">
        <v>-2227.9699999999998</v>
      </c>
      <c r="D34" s="10">
        <v>86997.05</v>
      </c>
    </row>
    <row r="35" spans="1:4" x14ac:dyDescent="0.25">
      <c r="A35" s="2" t="str">
        <f>"1.1.1.03.43- Caixa Econômica - 534-5 Codemig Poupança"</f>
        <v>1.1.1.03.43- Caixa Econômica - 534-5 Codemig Poupança</v>
      </c>
      <c r="B35" s="10">
        <v>25951.4</v>
      </c>
      <c r="C35" s="10">
        <v>224.98</v>
      </c>
      <c r="D35" s="10">
        <v>26176.38</v>
      </c>
    </row>
    <row r="36" spans="1:4" x14ac:dyDescent="0.25">
      <c r="A36" s="2" t="str">
        <f>"1.1.1.03.44- Caixa Econômica - 535-3 Turblog Poupança"</f>
        <v>1.1.1.03.44- Caixa Econômica - 535-3 Turblog Poupança</v>
      </c>
      <c r="B36" s="10">
        <v>63837.8</v>
      </c>
      <c r="C36" s="10">
        <v>553.42999999999995</v>
      </c>
      <c r="D36" s="10">
        <v>64391.23</v>
      </c>
    </row>
    <row r="37" spans="1:4" x14ac:dyDescent="0.25">
      <c r="A37" s="2" t="str">
        <f>"1.1.1.03.45- Caixa Econômica Federal - 3393-8Leilão17"</f>
        <v>1.1.1.03.45- Caixa Econômica Federal - 3393-8Leilão17</v>
      </c>
      <c r="B37" s="10">
        <v>113244.78</v>
      </c>
      <c r="C37" s="10">
        <v>511.02</v>
      </c>
      <c r="D37" s="10">
        <v>113755.8</v>
      </c>
    </row>
    <row r="38" spans="1:4" x14ac:dyDescent="0.25">
      <c r="A38" s="2" t="str">
        <f>"1.1.1.03.46- Caixa Econômica Federal -3501-9Leillão17"</f>
        <v>1.1.1.03.46- Caixa Econômica Federal -3501-9Leillão17</v>
      </c>
      <c r="B38" s="10">
        <v>94494.76</v>
      </c>
      <c r="C38" s="10">
        <v>479.54</v>
      </c>
      <c r="D38" s="10">
        <v>94974.3</v>
      </c>
    </row>
    <row r="39" spans="1:4" x14ac:dyDescent="0.25">
      <c r="A39" s="2" t="str">
        <f>"1.1.1.04.00- BANCOS C/VINCULADA-PAMEH"</f>
        <v>1.1.1.04.00- BANCOS C/VINCULADA-PAMEH</v>
      </c>
      <c r="B39" s="10">
        <v>2092420.78</v>
      </c>
      <c r="C39" s="10">
        <v>-257923.78</v>
      </c>
      <c r="D39" s="10">
        <v>1834497</v>
      </c>
    </row>
    <row r="40" spans="1:4" x14ac:dyDescent="0.25">
      <c r="A40" s="2" t="str">
        <f>"1.1.1.04.07- Caixa Econômica Federal - 3294-0"</f>
        <v>1.1.1.04.07- Caixa Econômica Federal - 3294-0</v>
      </c>
      <c r="B40" s="10">
        <v>2799.44</v>
      </c>
      <c r="C40" s="10">
        <v>-2799.44</v>
      </c>
      <c r="D40" s="10">
        <v>0</v>
      </c>
    </row>
    <row r="41" spans="1:4" x14ac:dyDescent="0.25">
      <c r="A41" s="2" t="str">
        <f>"1.1.1.04.08- Caixa Econômica Federal - 3294-0 Aplic."</f>
        <v>1.1.1.04.08- Caixa Econômica Federal - 3294-0 Aplic.</v>
      </c>
      <c r="B41" s="10">
        <v>2089621.34</v>
      </c>
      <c r="C41" s="10">
        <v>-255124.34</v>
      </c>
      <c r="D41" s="10">
        <v>1834497</v>
      </c>
    </row>
    <row r="42" spans="1:4" x14ac:dyDescent="0.25">
      <c r="A42" s="2" t="str">
        <f>"1.1.2.00.00- REALIZAVEL A CURTO PRAZO"</f>
        <v>1.1.2.00.00- REALIZAVEL A CURTO PRAZO</v>
      </c>
      <c r="B42" s="10">
        <v>9894467.5999999996</v>
      </c>
      <c r="C42" s="10">
        <v>2026412.36</v>
      </c>
      <c r="D42" s="10">
        <v>11920879.960000001</v>
      </c>
    </row>
    <row r="43" spans="1:4" x14ac:dyDescent="0.25">
      <c r="A43" s="2" t="str">
        <f>"1.1.2.01.00- CONTAS A RECEBER"</f>
        <v>1.1.2.01.00- CONTAS A RECEBER</v>
      </c>
      <c r="B43" s="10">
        <v>5929758.79</v>
      </c>
      <c r="C43" s="10">
        <v>71640.53</v>
      </c>
      <c r="D43" s="10">
        <v>6001399.3200000003</v>
      </c>
    </row>
    <row r="44" spans="1:4" x14ac:dyDescent="0.25">
      <c r="A44" s="2" t="str">
        <f>"1.1.2.01.89- Multas Transporte Coletivo"</f>
        <v>1.1.2.01.89- Multas Transporte Coletivo</v>
      </c>
      <c r="B44" s="10">
        <v>7154608.5599999996</v>
      </c>
      <c r="C44" s="10">
        <v>164980.99</v>
      </c>
      <c r="D44" s="10">
        <v>7319589.5499999998</v>
      </c>
    </row>
    <row r="45" spans="1:4" x14ac:dyDescent="0.25">
      <c r="A45" s="2" t="str">
        <f>"1.1.2.01.91- Midias Diversas"</f>
        <v>1.1.2.01.91- Midias Diversas</v>
      </c>
      <c r="B45" s="10">
        <v>8104.56</v>
      </c>
      <c r="C45" s="10">
        <v>-8104.56</v>
      </c>
      <c r="D45" s="10">
        <v>0</v>
      </c>
    </row>
    <row r="46" spans="1:4" x14ac:dyDescent="0.25">
      <c r="A46" s="2" t="str">
        <f>"1.1.2.01.94- Midia Onibus a Receber"</f>
        <v>1.1.2.01.94- Midia Onibus a Receber</v>
      </c>
      <c r="B46" s="10">
        <v>310169.96999999997</v>
      </c>
      <c r="C46" s="10">
        <v>-56602.63</v>
      </c>
      <c r="D46" s="10">
        <v>253567.34</v>
      </c>
    </row>
    <row r="47" spans="1:4" x14ac:dyDescent="0.25">
      <c r="A47" s="2" t="str">
        <f>"1.1.2.01.98- Outras contas a receber"</f>
        <v>1.1.2.01.98- Outras contas a receber</v>
      </c>
      <c r="B47" s="10">
        <v>37486.26</v>
      </c>
      <c r="C47" s="10">
        <v>4362.93</v>
      </c>
      <c r="D47" s="10">
        <v>41849.19</v>
      </c>
    </row>
    <row r="48" spans="1:4" x14ac:dyDescent="0.25">
      <c r="A48" s="2" t="str">
        <f>"1.1.2.01.99- (-) Provisao para Perdas"</f>
        <v>1.1.2.01.99- (-) Provisao para Perdas</v>
      </c>
      <c r="B48" s="10">
        <v>-1580610.5600000001</v>
      </c>
      <c r="C48" s="10">
        <v>-32996.199999999997</v>
      </c>
      <c r="D48" s="10">
        <v>-1613606.76</v>
      </c>
    </row>
    <row r="49" spans="1:4" x14ac:dyDescent="0.25">
      <c r="A49" s="2" t="str">
        <f>"1.1.2.04.00- CONVÊNIOS A RECEBER"</f>
        <v>1.1.2.04.00- CONVÊNIOS A RECEBER</v>
      </c>
      <c r="B49" s="10">
        <v>0</v>
      </c>
      <c r="C49" s="10">
        <v>3488.63</v>
      </c>
      <c r="D49" s="10">
        <v>3488.63</v>
      </c>
    </row>
    <row r="50" spans="1:4" x14ac:dyDescent="0.25">
      <c r="A50" s="2" t="str">
        <f>"1.1.2.04.99- Convenios cedidos a receber"</f>
        <v>1.1.2.04.99- Convenios cedidos a receber</v>
      </c>
      <c r="B50" s="10">
        <v>0</v>
      </c>
      <c r="C50" s="10">
        <v>3488.63</v>
      </c>
      <c r="D50" s="10">
        <v>3488.63</v>
      </c>
    </row>
    <row r="51" spans="1:4" x14ac:dyDescent="0.25">
      <c r="A51" s="2" t="str">
        <f>"1.1.2.06.00- ADIANTAMENTO A EMPREGADOS"</f>
        <v>1.1.2.06.00- ADIANTAMENTO A EMPREGADOS</v>
      </c>
      <c r="B51" s="10">
        <v>1945056.45</v>
      </c>
      <c r="C51" s="10">
        <v>1746476.41</v>
      </c>
      <c r="D51" s="10">
        <v>3691532.86</v>
      </c>
    </row>
    <row r="52" spans="1:4" x14ac:dyDescent="0.25">
      <c r="A52" s="2" t="str">
        <f>"1.1.2.06.01- Adiantamento de Ferias"</f>
        <v>1.1.2.06.01- Adiantamento de Ferias</v>
      </c>
      <c r="B52" s="10">
        <v>683185.19</v>
      </c>
      <c r="C52" s="10">
        <v>128627.64</v>
      </c>
      <c r="D52" s="10">
        <v>811812.83</v>
      </c>
    </row>
    <row r="53" spans="1:4" x14ac:dyDescent="0.25">
      <c r="A53" s="2" t="str">
        <f>"1.1.2.06.02- Adiantamento de 13. Salario"</f>
        <v>1.1.2.06.02- Adiantamento de 13. Salario</v>
      </c>
      <c r="B53" s="10">
        <v>991255.12</v>
      </c>
      <c r="C53" s="10">
        <v>1570495.81</v>
      </c>
      <c r="D53" s="10">
        <v>2561750.9300000002</v>
      </c>
    </row>
    <row r="54" spans="1:4" x14ac:dyDescent="0.25">
      <c r="A54" s="2" t="str">
        <f>"1.1.2.06.03- Adiant. de Salario/Parc. Ferias"</f>
        <v>1.1.2.06.03- Adiant. de Salario/Parc. Ferias</v>
      </c>
      <c r="B54" s="10">
        <v>107408.94</v>
      </c>
      <c r="C54" s="10">
        <v>41975.83</v>
      </c>
      <c r="D54" s="10">
        <v>149384.76999999999</v>
      </c>
    </row>
    <row r="55" spans="1:4" x14ac:dyDescent="0.25">
      <c r="A55" s="2" t="str">
        <f>"1.1.2.06.07- Adiantamento Pensao s/ Ferias"</f>
        <v>1.1.2.06.07- Adiantamento Pensao s/ Ferias</v>
      </c>
      <c r="B55" s="10">
        <v>163207.20000000001</v>
      </c>
      <c r="C55" s="10">
        <v>5377.13</v>
      </c>
      <c r="D55" s="10">
        <v>168584.33</v>
      </c>
    </row>
    <row r="56" spans="1:4" x14ac:dyDescent="0.25">
      <c r="A56" s="2" t="str">
        <f>"1.1.2.08.00- ALMOXARIFADO"</f>
        <v>1.1.2.08.00- ALMOXARIFADO</v>
      </c>
      <c r="B56" s="10">
        <v>281381.78999999998</v>
      </c>
      <c r="C56" s="10">
        <v>84101.87</v>
      </c>
      <c r="D56" s="10">
        <v>365483.66</v>
      </c>
    </row>
    <row r="57" spans="1:4" x14ac:dyDescent="0.25">
      <c r="A57" s="2" t="str">
        <f>"1.1.2.08.01- Material em Estoque"</f>
        <v>1.1.2.08.01- Material em Estoque</v>
      </c>
      <c r="B57" s="10">
        <v>281381.78999999998</v>
      </c>
      <c r="C57" s="10">
        <v>84101.87</v>
      </c>
      <c r="D57" s="10">
        <v>365483.66</v>
      </c>
    </row>
    <row r="58" spans="1:4" x14ac:dyDescent="0.25">
      <c r="A58" s="2" t="str">
        <f>"1.1.2.10.00- IMPOSTOS E CONTRIB.A RECUPERAR"</f>
        <v>1.1.2.10.00- IMPOSTOS E CONTRIB.A RECUPERAR</v>
      </c>
      <c r="B58" s="10">
        <v>541626.30000000005</v>
      </c>
      <c r="C58" s="10">
        <v>74148.009999999995</v>
      </c>
      <c r="D58" s="10">
        <v>615774.31000000006</v>
      </c>
    </row>
    <row r="59" spans="1:4" x14ac:dyDescent="0.25">
      <c r="A59" s="2" t="str">
        <f>"1.1.2.10.01- IR s/Aplicacao Financeira"</f>
        <v>1.1.2.10.01- IR s/Aplicacao Financeira</v>
      </c>
      <c r="B59" s="10">
        <v>424310</v>
      </c>
      <c r="C59" s="10">
        <v>5376.13</v>
      </c>
      <c r="D59" s="10">
        <v>429686.13</v>
      </c>
    </row>
    <row r="60" spans="1:4" x14ac:dyDescent="0.25">
      <c r="A60" s="2" t="str">
        <f>"1.1.2.10.08- IRRF a Compensar"</f>
        <v>1.1.2.10.08- IRRF a Compensar</v>
      </c>
      <c r="B60" s="10">
        <v>1454.99</v>
      </c>
      <c r="C60" s="10">
        <v>0</v>
      </c>
      <c r="D60" s="10">
        <v>1454.99</v>
      </c>
    </row>
    <row r="61" spans="1:4" x14ac:dyDescent="0.25">
      <c r="A61" s="2" t="str">
        <f>"1.1.2.10.15- Cofins a Compensar"</f>
        <v>1.1.2.10.15- Cofins a Compensar</v>
      </c>
      <c r="B61" s="10">
        <v>0.04</v>
      </c>
      <c r="C61" s="10">
        <v>56360.46</v>
      </c>
      <c r="D61" s="10">
        <v>56360.5</v>
      </c>
    </row>
    <row r="62" spans="1:4" x14ac:dyDescent="0.25">
      <c r="A62" s="2" t="str">
        <f>"1.1.2.10.16- PIS a Compensar"</f>
        <v>1.1.2.10.16- PIS a Compensar</v>
      </c>
      <c r="B62" s="10">
        <v>0.02</v>
      </c>
      <c r="C62" s="10">
        <v>12353.82</v>
      </c>
      <c r="D62" s="10">
        <v>12353.84</v>
      </c>
    </row>
    <row r="63" spans="1:4" x14ac:dyDescent="0.25">
      <c r="A63" s="2" t="str">
        <f>"1.1.2.10.20- V.M.A PIS a Recuperar"</f>
        <v>1.1.2.10.20- V.M.A PIS a Recuperar</v>
      </c>
      <c r="B63" s="10">
        <v>1562.06</v>
      </c>
      <c r="C63" s="10">
        <v>31.52</v>
      </c>
      <c r="D63" s="10">
        <v>1593.58</v>
      </c>
    </row>
    <row r="64" spans="1:4" x14ac:dyDescent="0.25">
      <c r="A64" s="2" t="str">
        <f>"1.1.2.10.21- V.M.A IRRF a Compensar"</f>
        <v>1.1.2.10.21- V.M.A IRRF a Compensar</v>
      </c>
      <c r="B64" s="10">
        <v>525.27</v>
      </c>
      <c r="C64" s="10">
        <v>7.88</v>
      </c>
      <c r="D64" s="10">
        <v>533.15</v>
      </c>
    </row>
    <row r="65" spans="1:4" x14ac:dyDescent="0.25">
      <c r="A65" s="2" t="str">
        <f>"1.1.2.10.22- V.M.A COFINS a Compensar"</f>
        <v>1.1.2.10.22- V.M.A COFINS a Compensar</v>
      </c>
      <c r="B65" s="10">
        <v>5510.15</v>
      </c>
      <c r="C65" s="10">
        <v>18.2</v>
      </c>
      <c r="D65" s="10">
        <v>5528.35</v>
      </c>
    </row>
    <row r="66" spans="1:4" x14ac:dyDescent="0.25">
      <c r="A66" s="2" t="str">
        <f>"1.1.2.10.25- INSS a recuperar segurados"</f>
        <v>1.1.2.10.25- INSS a recuperar segurados</v>
      </c>
      <c r="B66" s="10">
        <v>108263.77</v>
      </c>
      <c r="C66" s="10">
        <v>0</v>
      </c>
      <c r="D66" s="10">
        <v>108263.77</v>
      </c>
    </row>
    <row r="67" spans="1:4" x14ac:dyDescent="0.25">
      <c r="A67" s="2" t="str">
        <f>"1.1.2.11.00- DESPESAS ANTECIPADAS"</f>
        <v>1.1.2.11.00- DESPESAS ANTECIPADAS</v>
      </c>
      <c r="B67" s="10">
        <v>4036.92</v>
      </c>
      <c r="C67" s="10">
        <v>-690.41</v>
      </c>
      <c r="D67" s="10">
        <v>3346.51</v>
      </c>
    </row>
    <row r="68" spans="1:4" x14ac:dyDescent="0.25">
      <c r="A68" s="2" t="str">
        <f>"1.1.2.11.01- Premios de Seguros a Vencer"</f>
        <v>1.1.2.11.01- Premios de Seguros a Vencer</v>
      </c>
      <c r="B68" s="10">
        <v>4036.92</v>
      </c>
      <c r="C68" s="10">
        <v>-690.41</v>
      </c>
      <c r="D68" s="10">
        <v>3346.51</v>
      </c>
    </row>
    <row r="69" spans="1:4" x14ac:dyDescent="0.25">
      <c r="A69" s="2" t="str">
        <f>"1.1.2.12.00- VALORES VINC.A RECEBER-PAMEH"</f>
        <v>1.1.2.12.00- VALORES VINC.A RECEBER-PAMEH</v>
      </c>
      <c r="B69" s="10">
        <v>760185.74</v>
      </c>
      <c r="C69" s="10">
        <v>6147.75</v>
      </c>
      <c r="D69" s="10">
        <v>766333.49</v>
      </c>
    </row>
    <row r="70" spans="1:4" x14ac:dyDescent="0.25">
      <c r="A70" s="2" t="str">
        <f>"1.1.2.12.01- Valores Vinculados-PAMEH"</f>
        <v>1.1.2.12.01- Valores Vinculados-PAMEH</v>
      </c>
      <c r="B70" s="10">
        <v>760185.74</v>
      </c>
      <c r="C70" s="10">
        <v>6147.75</v>
      </c>
      <c r="D70" s="10">
        <v>766333.49</v>
      </c>
    </row>
    <row r="71" spans="1:4" x14ac:dyDescent="0.25">
      <c r="A71" s="2" t="str">
        <f>"1.1.2.14.00- CONTAS TRANSITORIAS - GRUPO ATIVO"</f>
        <v>1.1.2.14.00- CONTAS TRANSITORIAS - GRUPO ATIVO</v>
      </c>
      <c r="B71" s="10">
        <v>288654.73</v>
      </c>
      <c r="C71" s="10">
        <v>58215.11</v>
      </c>
      <c r="D71" s="10">
        <v>346869.84</v>
      </c>
    </row>
    <row r="72" spans="1:4" x14ac:dyDescent="0.25">
      <c r="A72" s="2" t="str">
        <f>"1.1.2.14.05- Transitoria Folha de Pagamento"</f>
        <v>1.1.2.14.05- Transitoria Folha de Pagamento</v>
      </c>
      <c r="B72" s="10">
        <v>288654.73</v>
      </c>
      <c r="C72" s="10">
        <v>58215.11</v>
      </c>
      <c r="D72" s="10">
        <v>346869.84</v>
      </c>
    </row>
    <row r="73" spans="1:4" x14ac:dyDescent="0.25">
      <c r="A73" s="2" t="str">
        <f>"1.1.2.15.00- CARNE ESTACIONAMENTO ROTATIVO"</f>
        <v>1.1.2.15.00- CARNE ESTACIONAMENTO ROTATIVO</v>
      </c>
      <c r="B73" s="10">
        <v>143766.88</v>
      </c>
      <c r="C73" s="10">
        <v>-17115.54</v>
      </c>
      <c r="D73" s="10">
        <v>126651.34</v>
      </c>
    </row>
    <row r="74" spans="1:4" x14ac:dyDescent="0.25">
      <c r="A74" s="2" t="str">
        <f>"1.1.2.15.01- Carne Rotativo"</f>
        <v>1.1.2.15.01- Carne Rotativo</v>
      </c>
      <c r="B74" s="10">
        <v>143766.88</v>
      </c>
      <c r="C74" s="10">
        <v>-17115.54</v>
      </c>
      <c r="D74" s="10">
        <v>126651.34</v>
      </c>
    </row>
    <row r="75" spans="1:4" x14ac:dyDescent="0.25">
      <c r="A75" s="2" t="str">
        <f>"1.2.0.00.00- ATIVO NAO CIRCULANTE"</f>
        <v>1.2.0.00.00- ATIVO NAO CIRCULANTE</v>
      </c>
      <c r="B75" s="10">
        <v>21663071</v>
      </c>
      <c r="C75" s="10">
        <v>1535523.94</v>
      </c>
      <c r="D75" s="10">
        <v>23198594.940000001</v>
      </c>
    </row>
    <row r="76" spans="1:4" x14ac:dyDescent="0.25">
      <c r="A76" s="2" t="str">
        <f>"1.2.1.00.00- REALIZAVEL A LONGO PRAZO"</f>
        <v>1.2.1.00.00- REALIZAVEL A LONGO PRAZO</v>
      </c>
      <c r="B76" s="10">
        <v>19656946.359999999</v>
      </c>
      <c r="C76" s="10">
        <v>1564925.51</v>
      </c>
      <c r="D76" s="10">
        <v>21221871.870000001</v>
      </c>
    </row>
    <row r="77" spans="1:4" x14ac:dyDescent="0.25">
      <c r="A77" s="2" t="str">
        <f>"1.2.1.01.00- CREDITOS E VALORES A RECEBER"</f>
        <v>1.2.1.01.00- CREDITOS E VALORES A RECEBER</v>
      </c>
      <c r="B77" s="10">
        <v>19656946.359999999</v>
      </c>
      <c r="C77" s="10">
        <v>1564925.51</v>
      </c>
      <c r="D77" s="10">
        <v>21221871.870000001</v>
      </c>
    </row>
    <row r="78" spans="1:4" x14ac:dyDescent="0.25">
      <c r="A78" s="2" t="str">
        <f>"1.2.1.01.01- Depositos Judiciais"</f>
        <v>1.2.1.01.01- Depositos Judiciais</v>
      </c>
      <c r="B78" s="10">
        <v>7141491.3799999999</v>
      </c>
      <c r="C78" s="10">
        <v>1564925.51</v>
      </c>
      <c r="D78" s="10">
        <v>8706416.8900000006</v>
      </c>
    </row>
    <row r="79" spans="1:4" x14ac:dyDescent="0.25">
      <c r="A79" s="2" t="str">
        <f>"1.2.1.01.03- Depositos Judiciais de Terceiros"</f>
        <v>1.2.1.01.03- Depositos Judiciais de Terceiros</v>
      </c>
      <c r="B79" s="10">
        <v>925087.39</v>
      </c>
      <c r="C79" s="10">
        <v>0</v>
      </c>
      <c r="D79" s="10">
        <v>925087.39</v>
      </c>
    </row>
    <row r="80" spans="1:4" x14ac:dyDescent="0.25">
      <c r="A80" s="2" t="str">
        <f>"1.2.1.01.04- Convenio Prefeitura Betim"</f>
        <v>1.2.1.01.04- Convenio Prefeitura Betim</v>
      </c>
      <c r="B80" s="10">
        <v>891.18</v>
      </c>
      <c r="C80" s="10">
        <v>0</v>
      </c>
      <c r="D80" s="10">
        <v>891.18</v>
      </c>
    </row>
    <row r="81" spans="1:4" x14ac:dyDescent="0.25">
      <c r="A81" s="2" t="str">
        <f>"1.2.1.01.05- Convenio IPSEMG"</f>
        <v>1.2.1.01.05- Convenio IPSEMG</v>
      </c>
      <c r="B81" s="10">
        <v>21163.53</v>
      </c>
      <c r="C81" s="10">
        <v>0</v>
      </c>
      <c r="D81" s="10">
        <v>21163.53</v>
      </c>
    </row>
    <row r="82" spans="1:4" x14ac:dyDescent="0.25">
      <c r="A82" s="2" t="str">
        <f>"1.2.1.01.06- Multas Transporte Coletivo"</f>
        <v>1.2.1.01.06- Multas Transporte Coletivo</v>
      </c>
      <c r="B82" s="10">
        <v>12853680.960000001</v>
      </c>
      <c r="C82" s="10">
        <v>0</v>
      </c>
      <c r="D82" s="10">
        <v>12853680.960000001</v>
      </c>
    </row>
    <row r="83" spans="1:4" x14ac:dyDescent="0.25">
      <c r="A83" s="2" t="str">
        <f>"1.2.1.01.07- (-) Provisao para Perdas"</f>
        <v>1.2.1.01.07- (-) Provisao para Perdas</v>
      </c>
      <c r="B83" s="10">
        <v>-1285368.08</v>
      </c>
      <c r="C83" s="10">
        <v>0</v>
      </c>
      <c r="D83" s="10">
        <v>-1285368.08</v>
      </c>
    </row>
    <row r="84" spans="1:4" x14ac:dyDescent="0.25">
      <c r="A84" s="2" t="str">
        <f>"1.3.1.00.00- INVESTIMENTOS"</f>
        <v>1.3.1.00.00- INVESTIMENTOS</v>
      </c>
      <c r="B84" s="10">
        <v>26070</v>
      </c>
      <c r="C84" s="10">
        <v>0</v>
      </c>
      <c r="D84" s="10">
        <v>26070</v>
      </c>
    </row>
    <row r="85" spans="1:4" x14ac:dyDescent="0.25">
      <c r="A85" s="2" t="str">
        <f>"1.3.1.01.00- OUTROS INVESTIMENTOS"</f>
        <v>1.3.1.01.00- OUTROS INVESTIMENTOS</v>
      </c>
      <c r="B85" s="10">
        <v>26070</v>
      </c>
      <c r="C85" s="10">
        <v>0</v>
      </c>
      <c r="D85" s="10">
        <v>26070</v>
      </c>
    </row>
    <row r="86" spans="1:4" x14ac:dyDescent="0.25">
      <c r="A86" s="2" t="str">
        <f>"1.3.1.01.01- Obras de Arte"</f>
        <v>1.3.1.01.01- Obras de Arte</v>
      </c>
      <c r="B86" s="10">
        <v>25200</v>
      </c>
      <c r="C86" s="10">
        <v>0</v>
      </c>
      <c r="D86" s="10">
        <v>25200</v>
      </c>
    </row>
    <row r="87" spans="1:4" x14ac:dyDescent="0.25">
      <c r="A87" s="2" t="str">
        <f>"1.3.1.01.02- Participações Societárias - PBH ATIVOS"</f>
        <v>1.3.1.01.02- Participações Societárias - PBH ATIVOS</v>
      </c>
      <c r="B87" s="10">
        <v>870</v>
      </c>
      <c r="C87" s="10">
        <v>0</v>
      </c>
      <c r="D87" s="10">
        <v>870</v>
      </c>
    </row>
    <row r="88" spans="1:4" x14ac:dyDescent="0.25">
      <c r="A88" s="2" t="str">
        <f>"1.3.2.00.00- IMOBILIZADO"</f>
        <v>1.3.2.00.00- IMOBILIZADO</v>
      </c>
      <c r="B88" s="10">
        <v>7780940.3700000001</v>
      </c>
      <c r="C88" s="10">
        <v>-8019.94</v>
      </c>
      <c r="D88" s="10">
        <v>7772920.4299999997</v>
      </c>
    </row>
    <row r="89" spans="1:4" x14ac:dyDescent="0.25">
      <c r="A89" s="2" t="str">
        <f>"1.3.2.01.01- Maquinas e equipamentos"</f>
        <v>1.3.2.01.01- Maquinas e equipamentos</v>
      </c>
      <c r="B89" s="10">
        <v>243172.08</v>
      </c>
      <c r="C89" s="10">
        <v>0</v>
      </c>
      <c r="D89" s="10">
        <v>243172.08</v>
      </c>
    </row>
    <row r="90" spans="1:4" x14ac:dyDescent="0.25">
      <c r="A90" s="2" t="str">
        <f>"1.3.2.02.01- Ferramentas"</f>
        <v>1.3.2.02.01- Ferramentas</v>
      </c>
      <c r="B90" s="10">
        <v>9104.81</v>
      </c>
      <c r="C90" s="10">
        <v>0</v>
      </c>
      <c r="D90" s="10">
        <v>9104.81</v>
      </c>
    </row>
    <row r="91" spans="1:4" x14ac:dyDescent="0.25">
      <c r="A91" s="2" t="str">
        <f>"1.3.2.03.01- Equipamentos de comunicacao"</f>
        <v>1.3.2.03.01- Equipamentos de comunicacao</v>
      </c>
      <c r="B91" s="10">
        <v>172167.01</v>
      </c>
      <c r="C91" s="10">
        <v>0</v>
      </c>
      <c r="D91" s="10">
        <v>172167.01</v>
      </c>
    </row>
    <row r="92" spans="1:4" x14ac:dyDescent="0.25">
      <c r="A92" s="2" t="str">
        <f>"1.3.2.04.01- Instalacoes"</f>
        <v>1.3.2.04.01- Instalacoes</v>
      </c>
      <c r="B92" s="10">
        <v>85222.9</v>
      </c>
      <c r="C92" s="10">
        <v>0</v>
      </c>
      <c r="D92" s="10">
        <v>85222.9</v>
      </c>
    </row>
    <row r="93" spans="1:4" x14ac:dyDescent="0.25">
      <c r="A93" s="2" t="str">
        <f>"1.3.2.06.01- Moveis e utensilios"</f>
        <v>1.3.2.06.01- Moveis e utensilios</v>
      </c>
      <c r="B93" s="10">
        <v>541731.43999999994</v>
      </c>
      <c r="C93" s="10">
        <v>0</v>
      </c>
      <c r="D93" s="10">
        <v>541731.43999999994</v>
      </c>
    </row>
    <row r="94" spans="1:4" x14ac:dyDescent="0.25">
      <c r="A94" s="2" t="str">
        <f>"1.3.2.08.01- Instalacoes administrativas"</f>
        <v>1.3.2.08.01- Instalacoes administrativas</v>
      </c>
      <c r="B94" s="10">
        <v>99146.34</v>
      </c>
      <c r="C94" s="10">
        <v>0</v>
      </c>
      <c r="D94" s="10">
        <v>99146.34</v>
      </c>
    </row>
    <row r="95" spans="1:4" x14ac:dyDescent="0.25">
      <c r="A95" s="2" t="str">
        <f>"1.3.2.09.01- Aparelhos/equipamentos diversos"</f>
        <v>1.3.2.09.01- Aparelhos/equipamentos diversos</v>
      </c>
      <c r="B95" s="10">
        <v>653084.13</v>
      </c>
      <c r="C95" s="10">
        <v>0</v>
      </c>
      <c r="D95" s="10">
        <v>653084.13</v>
      </c>
    </row>
    <row r="96" spans="1:4" x14ac:dyDescent="0.25">
      <c r="A96" s="2" t="str">
        <f>"1.3.2.10.01- Equip. p/ processamento de dados"</f>
        <v>1.3.2.10.01- Equip. p/ processamento de dados</v>
      </c>
      <c r="B96" s="10">
        <v>1550246.6</v>
      </c>
      <c r="C96" s="10">
        <v>0</v>
      </c>
      <c r="D96" s="10">
        <v>1550246.6</v>
      </c>
    </row>
    <row r="97" spans="1:4" x14ac:dyDescent="0.25">
      <c r="A97" s="2" t="str">
        <f>"1.3.2.12.01- Micros/impressoras e acessorios"</f>
        <v>1.3.2.12.01- Micros/impressoras e acessorios</v>
      </c>
      <c r="B97" s="10">
        <v>2709680.68</v>
      </c>
      <c r="C97" s="10">
        <v>35440</v>
      </c>
      <c r="D97" s="10">
        <v>2745120.68</v>
      </c>
    </row>
    <row r="98" spans="1:4" x14ac:dyDescent="0.25">
      <c r="A98" s="2" t="str">
        <f>"1.3.2.13.01- Imobilizacao em imoveis de terceiros"</f>
        <v>1.3.2.13.01- Imobilizacao em imoveis de terceiros</v>
      </c>
      <c r="B98" s="10">
        <v>511539.98</v>
      </c>
      <c r="C98" s="10">
        <v>0</v>
      </c>
      <c r="D98" s="10">
        <v>511539.98</v>
      </c>
    </row>
    <row r="99" spans="1:4" x14ac:dyDescent="0.25">
      <c r="A99" s="2" t="str">
        <f>"1.3.2.14.01- Estacao Diamante"</f>
        <v>1.3.2.14.01- Estacao Diamante</v>
      </c>
      <c r="B99" s="10">
        <v>1162384.46</v>
      </c>
      <c r="C99" s="10">
        <v>0</v>
      </c>
      <c r="D99" s="10">
        <v>1162384.46</v>
      </c>
    </row>
    <row r="100" spans="1:4" x14ac:dyDescent="0.25">
      <c r="A100" s="2" t="str">
        <f>"1.3.2.15.00- IMOBILIZACOES EM ANDAMENTO"</f>
        <v>1.3.2.15.00- IMOBILIZACOES EM ANDAMENTO</v>
      </c>
      <c r="B100" s="10">
        <v>43459.94</v>
      </c>
      <c r="C100" s="10">
        <v>-43459.94</v>
      </c>
      <c r="D100" s="10">
        <v>0</v>
      </c>
    </row>
    <row r="101" spans="1:4" x14ac:dyDescent="0.25">
      <c r="A101" s="2" t="str">
        <f>"1.3.2.15.01- Construcoes em Andamento"</f>
        <v>1.3.2.15.01- Construcoes em Andamento</v>
      </c>
      <c r="B101" s="10">
        <v>43459.94</v>
      </c>
      <c r="C101" s="10">
        <v>-43459.94</v>
      </c>
      <c r="D101" s="10">
        <v>0</v>
      </c>
    </row>
    <row r="102" spans="1:4" x14ac:dyDescent="0.25">
      <c r="A102" s="2" t="str">
        <f>"1.3.3.00.00- INTANGIVEL"</f>
        <v>1.3.3.00.00- INTANGIVEL</v>
      </c>
      <c r="B102" s="10">
        <v>37558</v>
      </c>
      <c r="C102" s="10">
        <v>0</v>
      </c>
      <c r="D102" s="10">
        <v>37558</v>
      </c>
    </row>
    <row r="103" spans="1:4" x14ac:dyDescent="0.25">
      <c r="A103" s="2" t="str">
        <f>"1.3.3.03.00- MARCAS E PATENTES"</f>
        <v>1.3.3.03.00- MARCAS E PATENTES</v>
      </c>
      <c r="B103" s="10">
        <v>808</v>
      </c>
      <c r="C103" s="10">
        <v>0</v>
      </c>
      <c r="D103" s="10">
        <v>808</v>
      </c>
    </row>
    <row r="104" spans="1:4" x14ac:dyDescent="0.25">
      <c r="A104" s="2" t="str">
        <f>"1.3.3.03.01- Marcas e Patentes"</f>
        <v>1.3.3.03.01- Marcas e Patentes</v>
      </c>
      <c r="B104" s="10">
        <v>808</v>
      </c>
      <c r="C104" s="10">
        <v>0</v>
      </c>
      <c r="D104" s="10">
        <v>808</v>
      </c>
    </row>
    <row r="105" spans="1:4" x14ac:dyDescent="0.25">
      <c r="A105" s="2" t="str">
        <f>"1.3.3.04.01- Programas e Sistemas"</f>
        <v>1.3.3.04.01- Programas e Sistemas</v>
      </c>
      <c r="B105" s="10">
        <v>36750</v>
      </c>
      <c r="C105" s="10">
        <v>0</v>
      </c>
      <c r="D105" s="10">
        <v>36750</v>
      </c>
    </row>
    <row r="106" spans="1:4" x14ac:dyDescent="0.25">
      <c r="A106" s="2" t="str">
        <f>"1.3.5.00.00- ( - )DEPRECIACAO E AMORTIZACAO"</f>
        <v>1.3.5.00.00- ( - )DEPRECIACAO E AMORTIZACAO</v>
      </c>
      <c r="B106" s="10">
        <v>-5838443.7300000004</v>
      </c>
      <c r="C106" s="10">
        <v>-21381.63</v>
      </c>
      <c r="D106" s="10">
        <v>-5859825.3600000003</v>
      </c>
    </row>
    <row r="107" spans="1:4" x14ac:dyDescent="0.25">
      <c r="A107" s="2" t="str">
        <f>"1.3.5.01.00- ( - ) DEPRECIACAO E AMORTIZACAO"</f>
        <v>1.3.5.01.00- ( - ) DEPRECIACAO E AMORTIZACAO</v>
      </c>
      <c r="B107" s="10">
        <v>-5838443.7300000004</v>
      </c>
      <c r="C107" s="10">
        <v>-21381.63</v>
      </c>
      <c r="D107" s="10">
        <v>-5859825.3600000003</v>
      </c>
    </row>
    <row r="108" spans="1:4" x14ac:dyDescent="0.25">
      <c r="A108" s="2" t="str">
        <f>"1.3.5.01.01- ( - ) Moveis e Utensilios"</f>
        <v>1.3.5.01.01- ( - ) Moveis e Utensilios</v>
      </c>
      <c r="B108" s="10">
        <v>-458751.14</v>
      </c>
      <c r="C108" s="10">
        <v>-2349.66</v>
      </c>
      <c r="D108" s="10">
        <v>-461100.79999999999</v>
      </c>
    </row>
    <row r="109" spans="1:4" x14ac:dyDescent="0.25">
      <c r="A109" s="2" t="str">
        <f>"1.3.5.01.02- ( - ) Aparelhos/Equipamentos Diversos"</f>
        <v>1.3.5.01.02- ( - ) Aparelhos/Equipamentos Diversos</v>
      </c>
      <c r="B109" s="10">
        <v>-391120.24</v>
      </c>
      <c r="C109" s="10">
        <v>-4074.47</v>
      </c>
      <c r="D109" s="10">
        <v>-395194.71</v>
      </c>
    </row>
    <row r="110" spans="1:4" x14ac:dyDescent="0.25">
      <c r="A110" s="2" t="str">
        <f>"1.3.5.01.03- ( - ) Instalacoes Administrativas"</f>
        <v>1.3.5.01.03- ( - ) Instalacoes Administrativas</v>
      </c>
      <c r="B110" s="10">
        <v>-99046.29</v>
      </c>
      <c r="C110" s="10">
        <v>-3.31</v>
      </c>
      <c r="D110" s="10">
        <v>-99049.600000000006</v>
      </c>
    </row>
    <row r="111" spans="1:4" x14ac:dyDescent="0.25">
      <c r="A111" s="2" t="str">
        <f>"1.3.5.01.05- ( - ) Impressoras e Micros"</f>
        <v>1.3.5.01.05- ( - ) Impressoras e Micros</v>
      </c>
      <c r="B111" s="10">
        <v>-3303710.75</v>
      </c>
      <c r="C111" s="10">
        <v>-7071.67</v>
      </c>
      <c r="D111" s="10">
        <v>-3310782.42</v>
      </c>
    </row>
    <row r="112" spans="1:4" x14ac:dyDescent="0.25">
      <c r="A112" s="2" t="str">
        <f>"1.3.5.01.06- ( - ) Maquinas e Equipamentos"</f>
        <v>1.3.5.01.06- ( - ) Maquinas e Equipamentos</v>
      </c>
      <c r="B112" s="10">
        <v>-166202.45000000001</v>
      </c>
      <c r="C112" s="10">
        <v>-1395.55</v>
      </c>
      <c r="D112" s="10">
        <v>-167598</v>
      </c>
    </row>
    <row r="113" spans="1:4" x14ac:dyDescent="0.25">
      <c r="A113" s="2" t="str">
        <f>"1.3.5.01.07- ( - ) Equipamentos de Comunicacao"</f>
        <v>1.3.5.01.07- ( - ) Equipamentos de Comunicacao</v>
      </c>
      <c r="B113" s="10">
        <v>-172092.01</v>
      </c>
      <c r="C113" s="10">
        <v>-5</v>
      </c>
      <c r="D113" s="10">
        <v>-172097.01</v>
      </c>
    </row>
    <row r="114" spans="1:4" x14ac:dyDescent="0.25">
      <c r="A114" s="2" t="str">
        <f>"1.3.5.01.08- ( - ) Instalacoes Operacionais"</f>
        <v>1.3.5.01.08- ( - ) Instalacoes Operacionais</v>
      </c>
      <c r="B114" s="10">
        <v>-68252.34</v>
      </c>
      <c r="C114" s="10">
        <v>-232.87</v>
      </c>
      <c r="D114" s="10">
        <v>-68485.210000000006</v>
      </c>
    </row>
    <row r="115" spans="1:4" x14ac:dyDescent="0.25">
      <c r="A115" s="2" t="str">
        <f>"1.3.5.01.09- ( - ) Programas (Softwares)"</f>
        <v>1.3.5.01.09- ( - ) Programas (Softwares)</v>
      </c>
      <c r="B115" s="10">
        <v>-33029.69</v>
      </c>
      <c r="C115" s="10">
        <v>-612.5</v>
      </c>
      <c r="D115" s="10">
        <v>-33642.19</v>
      </c>
    </row>
    <row r="116" spans="1:4" x14ac:dyDescent="0.25">
      <c r="A116" s="2" t="str">
        <f>"1.3.5.01.14- ( - ) Ferramentas"</f>
        <v>1.3.5.01.14- ( - ) Ferramentas</v>
      </c>
      <c r="B116" s="10">
        <v>-7544.08</v>
      </c>
      <c r="C116" s="10">
        <v>-56.85</v>
      </c>
      <c r="D116" s="10">
        <v>-7600.93</v>
      </c>
    </row>
    <row r="117" spans="1:4" x14ac:dyDescent="0.25">
      <c r="A117" s="2" t="str">
        <f>"1.3.5.01.15- ( - ) Imobilizacoes em Imov. Terceiros"</f>
        <v>1.3.5.01.15- ( - ) Imobilizacoes em Imov. Terceiros</v>
      </c>
      <c r="B117" s="10">
        <v>-1138694.74</v>
      </c>
      <c r="C117" s="10">
        <v>-5579.75</v>
      </c>
      <c r="D117" s="10">
        <v>-1144274.49</v>
      </c>
    </row>
    <row r="118" spans="1:4" x14ac:dyDescent="0.25">
      <c r="A118" s="2" t="str">
        <f>""</f>
        <v/>
      </c>
      <c r="B118" s="3" t="str">
        <f>""</f>
        <v/>
      </c>
      <c r="C118" s="3" t="str">
        <f>""</f>
        <v/>
      </c>
      <c r="D118" s="3" t="str">
        <f>""</f>
        <v/>
      </c>
    </row>
    <row r="119" spans="1:4" x14ac:dyDescent="0.25">
      <c r="A119" s="2" t="str">
        <f>"PASSIVO"</f>
        <v>PASSIVO</v>
      </c>
      <c r="B119" s="3" t="str">
        <f>""</f>
        <v/>
      </c>
      <c r="C119" s="3" t="str">
        <f>""</f>
        <v/>
      </c>
      <c r="D119" s="3" t="str">
        <f>""</f>
        <v/>
      </c>
    </row>
    <row r="120" spans="1:4" x14ac:dyDescent="0.25">
      <c r="A120" s="2" t="str">
        <f>"2.0.0.00.00- PASSIVO"</f>
        <v>2.0.0.00.00- PASSIVO</v>
      </c>
      <c r="B120" s="10">
        <v>51270731.609999999</v>
      </c>
      <c r="C120" s="10">
        <v>3817936.56</v>
      </c>
      <c r="D120" s="10">
        <v>55088668.170000002</v>
      </c>
    </row>
    <row r="121" spans="1:4" x14ac:dyDescent="0.25">
      <c r="A121" s="2" t="str">
        <f>"2.1.0.00.00- PASSIVO CIRCULANTE"</f>
        <v>2.1.0.00.00- PASSIVO CIRCULANTE</v>
      </c>
      <c r="B121" s="10">
        <v>80342885.019999996</v>
      </c>
      <c r="C121" s="10">
        <v>3668254.47</v>
      </c>
      <c r="D121" s="10">
        <v>84011139.489999995</v>
      </c>
    </row>
    <row r="122" spans="1:4" x14ac:dyDescent="0.25">
      <c r="A122" s="2" t="str">
        <f>"2.1.1.00.00- OBRIGACOES COM PESSOAL"</f>
        <v>2.1.1.00.00- OBRIGACOES COM PESSOAL</v>
      </c>
      <c r="B122" s="10">
        <v>18972943.48</v>
      </c>
      <c r="C122" s="10">
        <v>-178699.17</v>
      </c>
      <c r="D122" s="10">
        <v>18794244.309999999</v>
      </c>
    </row>
    <row r="123" spans="1:4" x14ac:dyDescent="0.25">
      <c r="A123" s="2" t="str">
        <f>"2.1.1.01.00- SALARIOS A PAGAR"</f>
        <v>2.1.1.01.00- SALARIOS A PAGAR</v>
      </c>
      <c r="B123" s="10">
        <v>18972943.48</v>
      </c>
      <c r="C123" s="10">
        <v>-178699.17</v>
      </c>
      <c r="D123" s="10">
        <v>18794244.309999999</v>
      </c>
    </row>
    <row r="124" spans="1:4" x14ac:dyDescent="0.25">
      <c r="A124" s="2" t="str">
        <f>"2.1.1.01.01- Salarios a Pagar"</f>
        <v>2.1.1.01.01- Salarios a Pagar</v>
      </c>
      <c r="B124" s="10">
        <v>4570346.88</v>
      </c>
      <c r="C124" s="10">
        <v>82272.679999999993</v>
      </c>
      <c r="D124" s="10">
        <v>4652619.5599999996</v>
      </c>
    </row>
    <row r="125" spans="1:4" x14ac:dyDescent="0.25">
      <c r="A125" s="2" t="str">
        <f>"2.1.1.01.02- Provisão 13º Salário"</f>
        <v>2.1.1.01.02- Provisão 13º Salário</v>
      </c>
      <c r="B125" s="10">
        <v>2860311.72</v>
      </c>
      <c r="C125" s="10">
        <v>534060.52</v>
      </c>
      <c r="D125" s="10">
        <v>3394372.24</v>
      </c>
    </row>
    <row r="126" spans="1:4" x14ac:dyDescent="0.25">
      <c r="A126" s="2" t="str">
        <f>"2.1.1.01.03- Ferias a pagar"</f>
        <v>2.1.1.01.03- Ferias a pagar</v>
      </c>
      <c r="B126" s="10">
        <v>190872.71</v>
      </c>
      <c r="C126" s="10">
        <v>-94144.07</v>
      </c>
      <c r="D126" s="10">
        <v>96728.639999999999</v>
      </c>
    </row>
    <row r="127" spans="1:4" x14ac:dyDescent="0.25">
      <c r="A127" s="2" t="str">
        <f>"2.1.1.01.05- Rescisoes a Pagar"</f>
        <v>2.1.1.01.05- Rescisoes a Pagar</v>
      </c>
      <c r="B127" s="10">
        <v>1626.45</v>
      </c>
      <c r="C127" s="10">
        <v>129.61000000000001</v>
      </c>
      <c r="D127" s="10">
        <v>1756.06</v>
      </c>
    </row>
    <row r="128" spans="1:4" x14ac:dyDescent="0.25">
      <c r="A128" s="2" t="str">
        <f>"2.1.1.01.09- Provisao de Ferias"</f>
        <v>2.1.1.01.09- Provisao de Ferias</v>
      </c>
      <c r="B128" s="10">
        <v>7650985.4199999999</v>
      </c>
      <c r="C128" s="10">
        <v>-169689.67</v>
      </c>
      <c r="D128" s="10">
        <v>7481295.75</v>
      </c>
    </row>
    <row r="129" spans="1:4" x14ac:dyDescent="0.25">
      <c r="A129" s="2" t="str">
        <f>"2.1.1.01.11- Indenizações trabalhistas - ACT"</f>
        <v>2.1.1.01.11- Indenizações trabalhistas - ACT</v>
      </c>
      <c r="B129" s="10">
        <v>3698800.3</v>
      </c>
      <c r="C129" s="10">
        <v>-531328.24</v>
      </c>
      <c r="D129" s="10">
        <v>3167472.06</v>
      </c>
    </row>
    <row r="130" spans="1:4" x14ac:dyDescent="0.25">
      <c r="A130" s="2" t="str">
        <f>"2.1.2.00.00- OBRIGACOES SOCIAIS A CURTO PRAZO"</f>
        <v>2.1.2.00.00- OBRIGACOES SOCIAIS A CURTO PRAZO</v>
      </c>
      <c r="B130" s="10">
        <v>7049900.3099999996</v>
      </c>
      <c r="C130" s="10">
        <v>661566.86</v>
      </c>
      <c r="D130" s="10">
        <v>7711467.1699999999</v>
      </c>
    </row>
    <row r="131" spans="1:4" x14ac:dyDescent="0.25">
      <c r="A131" s="2" t="str">
        <f>"2.1.2.01.00- OBRIGACOES SOCIAIS A RECOLHER"</f>
        <v>2.1.2.01.00- OBRIGACOES SOCIAIS A RECOLHER</v>
      </c>
      <c r="B131" s="10">
        <v>7049900.3099999996</v>
      </c>
      <c r="C131" s="10">
        <v>661566.86</v>
      </c>
      <c r="D131" s="10">
        <v>7711467.1699999999</v>
      </c>
    </row>
    <row r="132" spans="1:4" x14ac:dyDescent="0.25">
      <c r="A132" s="2" t="str">
        <f>"2.1.2.01.01- INSS a recolher s/Folha Pagto"</f>
        <v>2.1.2.01.01- INSS a recolher s/Folha Pagto</v>
      </c>
      <c r="B132" s="10">
        <v>2225296.91</v>
      </c>
      <c r="C132" s="10">
        <v>147422.1</v>
      </c>
      <c r="D132" s="10">
        <v>2372719.0099999998</v>
      </c>
    </row>
    <row r="133" spans="1:4" x14ac:dyDescent="0.25">
      <c r="A133" s="2" t="str">
        <f>"2.1.2.01.02- FGTS a recolher s/Folha Pagto"</f>
        <v>2.1.2.01.02- FGTS a recolher s/Folha Pagto</v>
      </c>
      <c r="B133" s="10">
        <v>499487.96</v>
      </c>
      <c r="C133" s="10">
        <v>165715.22</v>
      </c>
      <c r="D133" s="10">
        <v>665203.18000000005</v>
      </c>
    </row>
    <row r="134" spans="1:4" x14ac:dyDescent="0.25">
      <c r="A134" s="2" t="str">
        <f>"2.1.2.01.05- Contribuicao Sindical"</f>
        <v>2.1.2.01.05- Contribuicao Sindical</v>
      </c>
      <c r="B134" s="10">
        <v>7413.82</v>
      </c>
      <c r="C134" s="10">
        <v>301.55</v>
      </c>
      <c r="D134" s="10">
        <v>7715.37</v>
      </c>
    </row>
    <row r="135" spans="1:4" x14ac:dyDescent="0.25">
      <c r="A135" s="2" t="str">
        <f>"2.1.2.01.06- INSS s/Provisao de Ferias"</f>
        <v>2.1.2.01.06- INSS s/Provisao de Ferias</v>
      </c>
      <c r="B135" s="10">
        <v>2219030.46</v>
      </c>
      <c r="C135" s="10">
        <v>-48126.34</v>
      </c>
      <c r="D135" s="10">
        <v>2170904.12</v>
      </c>
    </row>
    <row r="136" spans="1:4" x14ac:dyDescent="0.25">
      <c r="A136" s="2" t="str">
        <f>"2.1.2.01.07- AEB - Assoc. Empreg. BHTRANS"</f>
        <v>2.1.2.01.07- AEB - Assoc. Empreg. BHTRANS</v>
      </c>
      <c r="B136" s="10">
        <v>4855.47</v>
      </c>
      <c r="C136" s="10">
        <v>-43.34</v>
      </c>
      <c r="D136" s="10">
        <v>4812.13</v>
      </c>
    </row>
    <row r="137" spans="1:4" x14ac:dyDescent="0.25">
      <c r="A137" s="2" t="str">
        <f>"2.1.2.01.09- INSS a Recolher s/Autonomos"</f>
        <v>2.1.2.01.09- INSS a Recolher s/Autonomos</v>
      </c>
      <c r="B137" s="10">
        <v>1818.02</v>
      </c>
      <c r="C137" s="10">
        <v>226.38</v>
      </c>
      <c r="D137" s="10">
        <v>2044.4</v>
      </c>
    </row>
    <row r="138" spans="1:4" x14ac:dyDescent="0.25">
      <c r="A138" s="2" t="str">
        <f>"2.1.2.01.10- INSS s/Provisao de 13.Salario"</f>
        <v>2.1.2.01.10- INSS s/Provisao de 13.Salario</v>
      </c>
      <c r="B138" s="10">
        <v>831340.2</v>
      </c>
      <c r="C138" s="10">
        <v>155236.14000000001</v>
      </c>
      <c r="D138" s="10">
        <v>986576.34</v>
      </c>
    </row>
    <row r="139" spans="1:4" x14ac:dyDescent="0.25">
      <c r="A139" s="2" t="str">
        <f>"2.1.2.01.11- FGTS s/Provisao de 13.Salario"</f>
        <v>2.1.2.01.11- FGTS s/Provisao de 13.Salario</v>
      </c>
      <c r="B139" s="10">
        <v>155861.06</v>
      </c>
      <c r="C139" s="10">
        <v>-79648.570000000007</v>
      </c>
      <c r="D139" s="10">
        <v>76212.490000000005</v>
      </c>
    </row>
    <row r="140" spans="1:4" x14ac:dyDescent="0.25">
      <c r="A140" s="2" t="str">
        <f>"2.1.2.01.12- FGTS s/Provisao de Ferias"</f>
        <v>2.1.2.01.12- FGTS s/Provisao de Ferias</v>
      </c>
      <c r="B140" s="10">
        <v>611568.43000000005</v>
      </c>
      <c r="C140" s="10">
        <v>-13592.38</v>
      </c>
      <c r="D140" s="10">
        <v>597976.05000000005</v>
      </c>
    </row>
    <row r="141" spans="1:4" x14ac:dyDescent="0.25">
      <c r="A141" s="2" t="str">
        <f>"2.1.2.01.13- Contribuicao ao PAMEH"</f>
        <v>2.1.2.01.13- Contribuicao ao PAMEH</v>
      </c>
      <c r="B141" s="10">
        <v>471970.32</v>
      </c>
      <c r="C141" s="10">
        <v>483.55</v>
      </c>
      <c r="D141" s="10">
        <v>472453.87</v>
      </c>
    </row>
    <row r="142" spans="1:4" x14ac:dyDescent="0.25">
      <c r="A142" s="2" t="str">
        <f>"2.1.2.01.15- Crediserv-BH"</f>
        <v>2.1.2.01.15- Crediserv-BH</v>
      </c>
      <c r="B142" s="10">
        <v>19735.03</v>
      </c>
      <c r="C142" s="10">
        <v>-921.47</v>
      </c>
      <c r="D142" s="10">
        <v>18813.560000000001</v>
      </c>
    </row>
    <row r="143" spans="1:4" x14ac:dyDescent="0.25">
      <c r="A143" s="2" t="str">
        <f>"2.1.2.01.16- INSS Fonte a Recolher - PJ"</f>
        <v>2.1.2.01.16- INSS Fonte a Recolher - PJ</v>
      </c>
      <c r="B143" s="10">
        <v>679.79</v>
      </c>
      <c r="C143" s="10">
        <v>334452.78000000003</v>
      </c>
      <c r="D143" s="10">
        <v>335132.57</v>
      </c>
    </row>
    <row r="144" spans="1:4" x14ac:dyDescent="0.25">
      <c r="A144" s="2" t="str">
        <f>"2.1.2.01.18- INSS Fonte a Recolher - P F"</f>
        <v>2.1.2.01.18- INSS Fonte a Recolher - P F</v>
      </c>
      <c r="B144" s="10">
        <v>842.84</v>
      </c>
      <c r="C144" s="10">
        <v>61.24</v>
      </c>
      <c r="D144" s="10">
        <v>904.08</v>
      </c>
    </row>
    <row r="145" spans="1:4" x14ac:dyDescent="0.25">
      <c r="A145" s="2" t="str">
        <f>"2.1.3.00.00- OBRIGACOES FISCAIS A CURTO PRAZO"</f>
        <v>2.1.3.00.00- OBRIGACOES FISCAIS A CURTO PRAZO</v>
      </c>
      <c r="B145" s="10">
        <v>2164302.7200000002</v>
      </c>
      <c r="C145" s="10">
        <v>25571.040000000001</v>
      </c>
      <c r="D145" s="10">
        <v>2189873.7599999998</v>
      </c>
    </row>
    <row r="146" spans="1:4" x14ac:dyDescent="0.25">
      <c r="A146" s="2" t="str">
        <f>"2.1.3.01.00- IMPOSTOS E TAXAS A RECOLHER"</f>
        <v>2.1.3.01.00- IMPOSTOS E TAXAS A RECOLHER</v>
      </c>
      <c r="B146" s="10">
        <v>2164302.7200000002</v>
      </c>
      <c r="C146" s="10">
        <v>25571.040000000001</v>
      </c>
      <c r="D146" s="10">
        <v>2189873.7599999998</v>
      </c>
    </row>
    <row r="147" spans="1:4" x14ac:dyDescent="0.25">
      <c r="A147" s="2" t="str">
        <f>"2.1.3.01.01- IRRF Fonte Folha Pagto"</f>
        <v>2.1.3.01.01- IRRF Fonte Folha Pagto</v>
      </c>
      <c r="B147" s="10">
        <v>714506.36</v>
      </c>
      <c r="C147" s="10">
        <v>66645.02</v>
      </c>
      <c r="D147" s="10">
        <v>781151.38</v>
      </c>
    </row>
    <row r="148" spans="1:4" x14ac:dyDescent="0.25">
      <c r="A148" s="2" t="str">
        <f>"2.1.3.01.03- IRRF Fonte - Pessoa  Juridica e Física"</f>
        <v>2.1.3.01.03- IRRF Fonte - Pessoa  Juridica e Física</v>
      </c>
      <c r="B148" s="10">
        <v>2957.17</v>
      </c>
      <c r="C148" s="10">
        <v>39065.589999999997</v>
      </c>
      <c r="D148" s="10">
        <v>42022.76</v>
      </c>
    </row>
    <row r="149" spans="1:4" x14ac:dyDescent="0.25">
      <c r="A149" s="2" t="str">
        <f>"2.1.3.01.05- ISS S/ Faturamento"</f>
        <v>2.1.3.01.05- ISS S/ Faturamento</v>
      </c>
      <c r="B149" s="10">
        <v>2594.3000000000002</v>
      </c>
      <c r="C149" s="10">
        <v>-586.33000000000004</v>
      </c>
      <c r="D149" s="10">
        <v>2007.97</v>
      </c>
    </row>
    <row r="150" spans="1:4" x14ac:dyDescent="0.25">
      <c r="A150" s="2" t="str">
        <f>"2.1.3.01.07- COFINS a Recolher"</f>
        <v>2.1.3.01.07- COFINS a Recolher</v>
      </c>
      <c r="B150" s="10">
        <v>1166112.5900000001</v>
      </c>
      <c r="C150" s="10">
        <v>-204141.64</v>
      </c>
      <c r="D150" s="10">
        <v>961970.95</v>
      </c>
    </row>
    <row r="151" spans="1:4" x14ac:dyDescent="0.25">
      <c r="A151" s="2" t="str">
        <f>"2.1.3.01.08- PIS a Recolher"</f>
        <v>2.1.3.01.08- PIS a Recolher</v>
      </c>
      <c r="B151" s="10">
        <v>252964.6</v>
      </c>
      <c r="C151" s="10">
        <v>-44220.639999999999</v>
      </c>
      <c r="D151" s="10">
        <v>208743.96</v>
      </c>
    </row>
    <row r="152" spans="1:4" x14ac:dyDescent="0.25">
      <c r="A152" s="2" t="str">
        <f>"2.1.3.01.09- ISS Fonte a Recolher P.Juridica"</f>
        <v>2.1.3.01.09- ISS Fonte a Recolher P.Juridica</v>
      </c>
      <c r="B152" s="10">
        <v>3617.64</v>
      </c>
      <c r="C152" s="10">
        <v>1552.91</v>
      </c>
      <c r="D152" s="10">
        <v>5170.55</v>
      </c>
    </row>
    <row r="153" spans="1:4" x14ac:dyDescent="0.25">
      <c r="A153" s="2" t="str">
        <f>"2.1.3.01.12- CSLL-COFINS-PIS - FONTE"</f>
        <v>2.1.3.01.12- CSLL-COFINS-PIS - FONTE</v>
      </c>
      <c r="B153" s="10">
        <v>21550.06</v>
      </c>
      <c r="C153" s="10">
        <v>167256.13</v>
      </c>
      <c r="D153" s="10">
        <v>188806.19</v>
      </c>
    </row>
    <row r="154" spans="1:4" x14ac:dyDescent="0.25">
      <c r="A154" s="2" t="str">
        <f>"2.1.4.00.00- OUTRAS OBRIGACOES A CURTO PRAZO"</f>
        <v>2.1.4.00.00- OUTRAS OBRIGACOES A CURTO PRAZO</v>
      </c>
      <c r="B154" s="10">
        <v>52111331.869999997</v>
      </c>
      <c r="C154" s="10">
        <v>3159814.04</v>
      </c>
      <c r="D154" s="10">
        <v>55271145.909999996</v>
      </c>
    </row>
    <row r="155" spans="1:4" x14ac:dyDescent="0.25">
      <c r="A155" s="2" t="str">
        <f>"2.1.4.01.00- FORNECEDORES"</f>
        <v>2.1.4.01.00- FORNECEDORES</v>
      </c>
      <c r="B155" s="10">
        <v>1726086.03</v>
      </c>
      <c r="C155" s="10">
        <v>1823831.38</v>
      </c>
      <c r="D155" s="10">
        <v>3549917.41</v>
      </c>
    </row>
    <row r="156" spans="1:4" x14ac:dyDescent="0.25">
      <c r="A156" s="2" t="str">
        <f>"2.1.4.01.99- Fornecedores"</f>
        <v>2.1.4.01.99- Fornecedores</v>
      </c>
      <c r="B156" s="10">
        <v>1726086.03</v>
      </c>
      <c r="C156" s="10">
        <v>1823831.38</v>
      </c>
      <c r="D156" s="10">
        <v>3549917.41</v>
      </c>
    </row>
    <row r="157" spans="1:4" x14ac:dyDescent="0.25">
      <c r="A157" s="2" t="str">
        <f>"2.1.4.02.00- CONTAS A PAGAR"</f>
        <v>2.1.4.02.00- CONTAS A PAGAR</v>
      </c>
      <c r="B157" s="10">
        <v>330265.28000000003</v>
      </c>
      <c r="C157" s="10">
        <v>-33767.370000000003</v>
      </c>
      <c r="D157" s="10">
        <v>296497.90999999997</v>
      </c>
    </row>
    <row r="158" spans="1:4" x14ac:dyDescent="0.25">
      <c r="A158" s="2" t="str">
        <f>"2.1.4.02.01- Emprestimo Consignado - Bradesco"</f>
        <v>2.1.4.02.01- Emprestimo Consignado - Bradesco</v>
      </c>
      <c r="B158" s="10">
        <v>133102.24</v>
      </c>
      <c r="C158" s="10">
        <v>1944.95</v>
      </c>
      <c r="D158" s="10">
        <v>135047.19</v>
      </c>
    </row>
    <row r="159" spans="1:4" x14ac:dyDescent="0.25">
      <c r="A159" s="2" t="str">
        <f>"2.1.4.02.03- Emprestimo Consignado - CEF"</f>
        <v>2.1.4.02.03- Emprestimo Consignado - CEF</v>
      </c>
      <c r="B159" s="10">
        <v>22780</v>
      </c>
      <c r="C159" s="10">
        <v>-814.7</v>
      </c>
      <c r="D159" s="10">
        <v>21965.3</v>
      </c>
    </row>
    <row r="160" spans="1:4" x14ac:dyDescent="0.25">
      <c r="A160" s="2" t="str">
        <f>"2.1.4.02.04- Emprestimo Consignado - B.Brasil"</f>
        <v>2.1.4.02.04- Emprestimo Consignado - B.Brasil</v>
      </c>
      <c r="B160" s="10">
        <v>50046.94</v>
      </c>
      <c r="C160" s="10">
        <v>-1832.57</v>
      </c>
      <c r="D160" s="10">
        <v>48214.37</v>
      </c>
    </row>
    <row r="161" spans="1:4" x14ac:dyDescent="0.25">
      <c r="A161" s="2" t="str">
        <f>"2.1.4.02.05- Emprestimo Consignado-Banco Alfa"</f>
        <v>2.1.4.02.05- Emprestimo Consignado-Banco Alfa</v>
      </c>
      <c r="B161" s="10">
        <v>54641.34</v>
      </c>
      <c r="C161" s="10">
        <v>-1372.83</v>
      </c>
      <c r="D161" s="10">
        <v>53268.51</v>
      </c>
    </row>
    <row r="162" spans="1:4" x14ac:dyDescent="0.25">
      <c r="A162" s="2" t="str">
        <f>"2.1.4.02.07- Emprestimo Consignado - B. Safra"</f>
        <v>2.1.4.02.07- Emprestimo Consignado - B. Safra</v>
      </c>
      <c r="B162" s="10">
        <v>13867.65</v>
      </c>
      <c r="C162" s="10">
        <v>-2884.36</v>
      </c>
      <c r="D162" s="10">
        <v>10983.29</v>
      </c>
    </row>
    <row r="163" spans="1:4" x14ac:dyDescent="0.25">
      <c r="A163" s="2" t="str">
        <f>"2.1.4.02.09- Emprestimo Consignado - BMC"</f>
        <v>2.1.4.02.09- Emprestimo Consignado - BMC</v>
      </c>
      <c r="B163" s="10">
        <v>307.8</v>
      </c>
      <c r="C163" s="10">
        <v>0</v>
      </c>
      <c r="D163" s="10">
        <v>307.8</v>
      </c>
    </row>
    <row r="164" spans="1:4" x14ac:dyDescent="0.25">
      <c r="A164" s="2" t="str">
        <f>"2.1.4.02.10- Cartão - BMG Card"</f>
        <v>2.1.4.02.10- Cartão - BMG Card</v>
      </c>
      <c r="B164" s="10">
        <v>9875.36</v>
      </c>
      <c r="C164" s="10">
        <v>-23.81</v>
      </c>
      <c r="D164" s="10">
        <v>9851.5499999999993</v>
      </c>
    </row>
    <row r="165" spans="1:4" x14ac:dyDescent="0.25">
      <c r="A165" s="2" t="str">
        <f>"2.1.4.02.99- Contas a Pagar"</f>
        <v>2.1.4.02.99- Contas a Pagar</v>
      </c>
      <c r="B165" s="10">
        <v>45643.95</v>
      </c>
      <c r="C165" s="10">
        <v>-28784.05</v>
      </c>
      <c r="D165" s="10">
        <v>16859.900000000001</v>
      </c>
    </row>
    <row r="166" spans="1:4" x14ac:dyDescent="0.25">
      <c r="A166" s="2" t="str">
        <f>"2.1.4.03.00- CREDORES DIVERSOS"</f>
        <v>2.1.4.03.00- CREDORES DIVERSOS</v>
      </c>
      <c r="B166" s="10">
        <v>49180170.079999998</v>
      </c>
      <c r="C166" s="10">
        <v>1524073.18</v>
      </c>
      <c r="D166" s="10">
        <v>50704243.259999998</v>
      </c>
    </row>
    <row r="167" spans="1:4" x14ac:dyDescent="0.25">
      <c r="A167" s="2" t="str">
        <f>"2.1.4.03.07- Adiantamento Acionista - Municipio BH"</f>
        <v>2.1.4.03.07- Adiantamento Acionista - Municipio BH</v>
      </c>
      <c r="B167" s="10">
        <v>49180170.079999998</v>
      </c>
      <c r="C167" s="10">
        <v>1524073.18</v>
      </c>
      <c r="D167" s="10">
        <v>50704243.259999998</v>
      </c>
    </row>
    <row r="168" spans="1:4" x14ac:dyDescent="0.25">
      <c r="A168" s="2" t="str">
        <f>"2.1.4.04.00- CAUCAO DE TERCEIROS/LEILAO"</f>
        <v>2.1.4.04.00- CAUCAO DE TERCEIROS/LEILAO</v>
      </c>
      <c r="B168" s="10">
        <v>874810.48</v>
      </c>
      <c r="C168" s="10">
        <v>-154323.15</v>
      </c>
      <c r="D168" s="10">
        <v>720487.33</v>
      </c>
    </row>
    <row r="169" spans="1:4" x14ac:dyDescent="0.25">
      <c r="A169" s="2" t="str">
        <f>"2.1.4.04.98- Leilões"</f>
        <v>2.1.4.04.98- Leilões</v>
      </c>
      <c r="B169" s="10">
        <v>554174.49</v>
      </c>
      <c r="C169" s="10">
        <v>-63.24</v>
      </c>
      <c r="D169" s="10">
        <v>554111.25</v>
      </c>
    </row>
    <row r="170" spans="1:4" x14ac:dyDescent="0.25">
      <c r="A170" s="2" t="str">
        <f>"2.1.4.04.99- Caucao de Terceiros"</f>
        <v>2.1.4.04.99- Caucao de Terceiros</v>
      </c>
      <c r="B170" s="10">
        <v>320635.99</v>
      </c>
      <c r="C170" s="10">
        <v>-154259.91</v>
      </c>
      <c r="D170" s="10">
        <v>166376.07999999999</v>
      </c>
    </row>
    <row r="171" spans="1:4" x14ac:dyDescent="0.25">
      <c r="A171" s="2" t="str">
        <f>"2.1.6.00.00- OBRIGACOES VINC. A PAGAR-PAMEH"</f>
        <v>2.1.6.00.00- OBRIGACOES VINC. A PAGAR-PAMEH</v>
      </c>
      <c r="B171" s="10">
        <v>44406.64</v>
      </c>
      <c r="C171" s="10">
        <v>1.7</v>
      </c>
      <c r="D171" s="10">
        <v>44408.34</v>
      </c>
    </row>
    <row r="172" spans="1:4" x14ac:dyDescent="0.25">
      <c r="A172" s="2" t="str">
        <f>"2.1.6.01.00- OBRIGACOES VINC. -PAMEH"</f>
        <v>2.1.6.01.00- OBRIGACOES VINC. -PAMEH</v>
      </c>
      <c r="B172" s="10">
        <v>44406.64</v>
      </c>
      <c r="C172" s="10">
        <v>1.7</v>
      </c>
      <c r="D172" s="10">
        <v>44408.34</v>
      </c>
    </row>
    <row r="173" spans="1:4" x14ac:dyDescent="0.25">
      <c r="A173" s="2" t="str">
        <f>"2.1.6.01.01- Obrigacoes Vinculadas - PAMEH"</f>
        <v>2.1.6.01.01- Obrigacoes Vinculadas - PAMEH</v>
      </c>
      <c r="B173" s="10">
        <v>44406.64</v>
      </c>
      <c r="C173" s="10">
        <v>1.7</v>
      </c>
      <c r="D173" s="10">
        <v>44408.34</v>
      </c>
    </row>
    <row r="174" spans="1:4" x14ac:dyDescent="0.25">
      <c r="A174" s="2" t="str">
        <f>"2.2.0.00.00- PASSIVO NAO CIRCULANTE"</f>
        <v>2.2.0.00.00- PASSIVO NAO CIRCULANTE</v>
      </c>
      <c r="B174" s="10">
        <v>47660907.310000002</v>
      </c>
      <c r="C174" s="10">
        <v>-268618.73</v>
      </c>
      <c r="D174" s="10">
        <v>47392288.579999998</v>
      </c>
    </row>
    <row r="175" spans="1:4" x14ac:dyDescent="0.25">
      <c r="A175" s="2" t="str">
        <f>"2.2.4.00.00- OUTRAS OBRIGACOES A LONGO PRAZO"</f>
        <v>2.2.4.00.00- OUTRAS OBRIGACOES A LONGO PRAZO</v>
      </c>
      <c r="B175" s="10">
        <v>44589385.729999997</v>
      </c>
      <c r="C175" s="10">
        <v>-16841</v>
      </c>
      <c r="D175" s="10">
        <v>44572544.729999997</v>
      </c>
    </row>
    <row r="176" spans="1:4" x14ac:dyDescent="0.25">
      <c r="A176" s="2" t="str">
        <f>"2.2.4.01.00- CREDORES DIVERSOS"</f>
        <v>2.2.4.01.00- CREDORES DIVERSOS</v>
      </c>
      <c r="B176" s="10">
        <v>10868557.66</v>
      </c>
      <c r="C176" s="10">
        <v>0</v>
      </c>
      <c r="D176" s="10">
        <v>10868557.66</v>
      </c>
    </row>
    <row r="177" spans="1:4" x14ac:dyDescent="0.25">
      <c r="A177" s="2" t="str">
        <f>"2.2.4.01.04- Provisão para Contingências Fiscais"</f>
        <v>2.2.4.01.04- Provisão para Contingências Fiscais</v>
      </c>
      <c r="B177" s="10">
        <v>9926702.7200000007</v>
      </c>
      <c r="C177" s="10">
        <v>0</v>
      </c>
      <c r="D177" s="10">
        <v>9926702.7200000007</v>
      </c>
    </row>
    <row r="178" spans="1:4" x14ac:dyDescent="0.25">
      <c r="A178" s="2" t="str">
        <f>"2.2.4.01.05- INSS Segurados"</f>
        <v>2.2.4.01.05- INSS Segurados</v>
      </c>
      <c r="B178" s="10">
        <v>941854.94</v>
      </c>
      <c r="C178" s="10">
        <v>0</v>
      </c>
      <c r="D178" s="10">
        <v>941854.94</v>
      </c>
    </row>
    <row r="179" spans="1:4" x14ac:dyDescent="0.25">
      <c r="A179" s="2" t="str">
        <f>"2.2.4.04.00- ACOES JUDICIAIS E TRABALHISTAS"</f>
        <v>2.2.4.04.00- ACOES JUDICIAIS E TRABALHISTAS</v>
      </c>
      <c r="B179" s="10">
        <v>33720828.07</v>
      </c>
      <c r="C179" s="10">
        <v>-16841</v>
      </c>
      <c r="D179" s="10">
        <v>33703987.07</v>
      </c>
    </row>
    <row r="180" spans="1:4" x14ac:dyDescent="0.25">
      <c r="A180" s="2" t="str">
        <f>"2.2.4.04.01- Acoes judiciais"</f>
        <v>2.2.4.04.01- Acoes judiciais</v>
      </c>
      <c r="B180" s="10">
        <v>16494009.210000001</v>
      </c>
      <c r="C180" s="10">
        <v>0</v>
      </c>
      <c r="D180" s="10">
        <v>16494009.210000001</v>
      </c>
    </row>
    <row r="181" spans="1:4" x14ac:dyDescent="0.25">
      <c r="A181" s="2" t="str">
        <f>"2.2.4.04.02- Acoes trabalhistas"</f>
        <v>2.2.4.04.02- Acoes trabalhistas</v>
      </c>
      <c r="B181" s="10">
        <v>17226818.859999999</v>
      </c>
      <c r="C181" s="10">
        <v>-16841</v>
      </c>
      <c r="D181" s="10">
        <v>17209977.859999999</v>
      </c>
    </row>
    <row r="182" spans="1:4" x14ac:dyDescent="0.25">
      <c r="A182" s="2" t="str">
        <f>"2.2.5.00.00- OBRIGACOES VINC.  AO PAMEH"</f>
        <v>2.2.5.00.00- OBRIGACOES VINC.  AO PAMEH</v>
      </c>
      <c r="B182" s="10">
        <v>3071521.58</v>
      </c>
      <c r="C182" s="10">
        <v>-251777.73</v>
      </c>
      <c r="D182" s="10">
        <v>2819743.85</v>
      </c>
    </row>
    <row r="183" spans="1:4" x14ac:dyDescent="0.25">
      <c r="A183" s="2" t="str">
        <f>"2.2.5.01.00- OBRIGACOES VINC.  AO PAMEH"</f>
        <v>2.2.5.01.00- OBRIGACOES VINC.  AO PAMEH</v>
      </c>
      <c r="B183" s="10">
        <v>3071521.58</v>
      </c>
      <c r="C183" s="10">
        <v>-251777.73</v>
      </c>
      <c r="D183" s="10">
        <v>2819743.85</v>
      </c>
    </row>
    <row r="184" spans="1:4" x14ac:dyDescent="0.25">
      <c r="A184" s="2" t="str">
        <f>"2.2.5.01.01- Resultado Exerc.Anteriores-PAMEH"</f>
        <v>2.2.5.01.01- Resultado Exerc.Anteriores-PAMEH</v>
      </c>
      <c r="B184" s="10">
        <v>3478307.51</v>
      </c>
      <c r="C184" s="10">
        <v>0</v>
      </c>
      <c r="D184" s="10">
        <v>3478307.51</v>
      </c>
    </row>
    <row r="185" spans="1:4" x14ac:dyDescent="0.25">
      <c r="A185" s="2" t="str">
        <f>"2.2.5.01.02- Resultado deste Exercicio-PAMEH"</f>
        <v>2.2.5.01.02- Resultado deste Exercicio-PAMEH</v>
      </c>
      <c r="B185" s="10">
        <v>-406785.93</v>
      </c>
      <c r="C185" s="10">
        <v>-251777.73</v>
      </c>
      <c r="D185" s="10">
        <v>-658563.66</v>
      </c>
    </row>
    <row r="186" spans="1:4" x14ac:dyDescent="0.25">
      <c r="A186" s="2" t="str">
        <f>"2.4.0.00.00- PATRIMONIO LIQUIDO"</f>
        <v>2.4.0.00.00- PATRIMONIO LIQUIDO</v>
      </c>
      <c r="B186" s="10">
        <v>-76733060.719999999</v>
      </c>
      <c r="C186" s="10">
        <v>418300.82</v>
      </c>
      <c r="D186" s="10">
        <v>-76314759.900000006</v>
      </c>
    </row>
    <row r="187" spans="1:4" x14ac:dyDescent="0.25">
      <c r="A187" s="2" t="str">
        <f>"2.4.1.00.00- CAPITAL SOCIAL"</f>
        <v>2.4.1.00.00- CAPITAL SOCIAL</v>
      </c>
      <c r="B187" s="10">
        <v>67418193.159999996</v>
      </c>
      <c r="C187" s="10">
        <v>0</v>
      </c>
      <c r="D187" s="10">
        <v>67418193.159999996</v>
      </c>
    </row>
    <row r="188" spans="1:4" x14ac:dyDescent="0.25">
      <c r="A188" s="2" t="str">
        <f>"2.4.1.02.00- CAPITAL REALIZADO"</f>
        <v>2.4.1.02.00- CAPITAL REALIZADO</v>
      </c>
      <c r="B188" s="10">
        <v>67418193.159999996</v>
      </c>
      <c r="C188" s="10">
        <v>0</v>
      </c>
      <c r="D188" s="10">
        <v>67418193.159999996</v>
      </c>
    </row>
    <row r="189" spans="1:4" x14ac:dyDescent="0.25">
      <c r="A189" s="2" t="str">
        <f>"2.4.1.02.01- Capital Subscrito"</f>
        <v>2.4.1.02.01- Capital Subscrito</v>
      </c>
      <c r="B189" s="10">
        <v>75000000</v>
      </c>
      <c r="C189" s="10">
        <v>0</v>
      </c>
      <c r="D189" s="10">
        <v>75000000</v>
      </c>
    </row>
    <row r="190" spans="1:4" x14ac:dyDescent="0.25">
      <c r="A190" s="2" t="str">
        <f>"2.4.1.02.04- Capital a Realizar"</f>
        <v>2.4.1.02.04- Capital a Realizar</v>
      </c>
      <c r="B190" s="10">
        <v>-7581806.8399999999</v>
      </c>
      <c r="C190" s="10">
        <v>0</v>
      </c>
      <c r="D190" s="10">
        <v>-7581806.8399999999</v>
      </c>
    </row>
    <row r="191" spans="1:4" x14ac:dyDescent="0.25">
      <c r="A191" s="2" t="str">
        <f>"2.4.3.00.00- RESULTADOS ACUMULADOS"</f>
        <v>2.4.3.00.00- RESULTADOS ACUMULADOS</v>
      </c>
      <c r="B191" s="10">
        <v>-144151253.88</v>
      </c>
      <c r="C191" s="10">
        <v>418300.82</v>
      </c>
      <c r="D191" s="10">
        <v>-143732953.06</v>
      </c>
    </row>
    <row r="192" spans="1:4" x14ac:dyDescent="0.25">
      <c r="A192" s="2" t="str">
        <f>"2.4.3.01.00- LUCROS/PREJUIZOS ACUMULADOS"</f>
        <v>2.4.3.01.00- LUCROS/PREJUIZOS ACUMULADOS</v>
      </c>
      <c r="B192" s="10">
        <v>-144151253.88</v>
      </c>
      <c r="C192" s="10">
        <v>418300.82</v>
      </c>
      <c r="D192" s="10">
        <v>-143732953.06</v>
      </c>
    </row>
    <row r="193" spans="1:4" x14ac:dyDescent="0.25">
      <c r="A193" s="2" t="str">
        <f>"2.4.3.01.01- Resultados de Exerc. Anteriores"</f>
        <v>2.4.3.01.01- Resultados de Exerc. Anteriores</v>
      </c>
      <c r="B193" s="10">
        <v>-144079394.25</v>
      </c>
      <c r="C193" s="10">
        <v>0</v>
      </c>
      <c r="D193" s="10">
        <v>-144079394.25</v>
      </c>
    </row>
    <row r="194" spans="1:4" x14ac:dyDescent="0.25">
      <c r="A194" s="2" t="str">
        <f>"2.4.3.01.03- Ajuste do Exercicio Anterior"</f>
        <v>2.4.3.01.03- Ajuste do Exercicio Anterior</v>
      </c>
      <c r="B194" s="10">
        <v>-71859.63</v>
      </c>
      <c r="C194" s="10">
        <v>418300.82</v>
      </c>
      <c r="D194" s="10">
        <v>346441.19</v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"DESPESAS"</f>
        <v>DESPESAS</v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"3.0.0.00.00- DESPESAS"</f>
        <v>3.0.0.00.00- DESPESAS</v>
      </c>
      <c r="B203" s="10">
        <v>83538947.670000002</v>
      </c>
      <c r="C203" s="10">
        <v>15280848.5</v>
      </c>
      <c r="D203" s="10">
        <v>98819796.170000002</v>
      </c>
    </row>
    <row r="204" spans="1:4" x14ac:dyDescent="0.25">
      <c r="A204" s="2" t="str">
        <f>"3.1.0.00.00- DESPESAS OPERACIONAIS"</f>
        <v>3.1.0.00.00- DESPESAS OPERACIONAIS</v>
      </c>
      <c r="B204" s="10">
        <v>83538947.670000002</v>
      </c>
      <c r="C204" s="10">
        <v>15280848.5</v>
      </c>
      <c r="D204" s="10">
        <v>98819796.170000002</v>
      </c>
    </row>
    <row r="205" spans="1:4" x14ac:dyDescent="0.25">
      <c r="A205" s="2" t="str">
        <f>"3.1.1.00.00- SALARIOS ADICIONAIS E HONORARIOS"</f>
        <v>3.1.1.00.00- SALARIOS ADICIONAIS E HONORARIOS</v>
      </c>
      <c r="B205" s="10">
        <v>45782395.729999997</v>
      </c>
      <c r="C205" s="10">
        <v>6996163.9199999999</v>
      </c>
      <c r="D205" s="10">
        <v>52778559.649999999</v>
      </c>
    </row>
    <row r="206" spans="1:4" x14ac:dyDescent="0.25">
      <c r="A206" s="2" t="str">
        <f>"3.1.1.00.01- Honorarios diretoria"</f>
        <v>3.1.1.00.01- Honorarios diretoria</v>
      </c>
      <c r="B206" s="10">
        <v>558694.38</v>
      </c>
      <c r="C206" s="10">
        <v>37594.720000000001</v>
      </c>
      <c r="D206" s="10">
        <v>596289.1</v>
      </c>
    </row>
    <row r="207" spans="1:4" x14ac:dyDescent="0.25">
      <c r="A207" s="2" t="str">
        <f>"3.1.1.00.02- Honorarios conselho fiscal"</f>
        <v>3.1.1.00.02- Honorarios conselho fiscal</v>
      </c>
      <c r="B207" s="10">
        <v>31869</v>
      </c>
      <c r="C207" s="10">
        <v>5311.5</v>
      </c>
      <c r="D207" s="10">
        <v>37180.5</v>
      </c>
    </row>
    <row r="208" spans="1:4" x14ac:dyDescent="0.25">
      <c r="A208" s="2" t="str">
        <f>"3.1.1.00.03- Honorarios cons. administracao"</f>
        <v>3.1.1.00.03- Honorarios cons. administracao</v>
      </c>
      <c r="B208" s="10">
        <v>59797.51</v>
      </c>
      <c r="C208" s="10">
        <v>10613.71</v>
      </c>
      <c r="D208" s="10">
        <v>70411.22</v>
      </c>
    </row>
    <row r="209" spans="1:4" x14ac:dyDescent="0.25">
      <c r="A209" s="2" t="str">
        <f>"3.1.1.00.04- Salarios e adicionais"</f>
        <v>3.1.1.00.04- Salarios e adicionais</v>
      </c>
      <c r="B209" s="10">
        <v>33887424.810000002</v>
      </c>
      <c r="C209" s="10">
        <v>5494894.6699999999</v>
      </c>
      <c r="D209" s="10">
        <v>39382319.479999997</v>
      </c>
    </row>
    <row r="210" spans="1:4" x14ac:dyDescent="0.25">
      <c r="A210" s="2" t="str">
        <f>"3.1.1.00.05- Ferias e abono pecuniario"</f>
        <v>3.1.1.00.05- Ferias e abono pecuniario</v>
      </c>
      <c r="B210" s="10">
        <v>4335189.49</v>
      </c>
      <c r="C210" s="10">
        <v>895226.88</v>
      </c>
      <c r="D210" s="10">
        <v>5230416.37</v>
      </c>
    </row>
    <row r="211" spans="1:4" x14ac:dyDescent="0.25">
      <c r="A211" s="2" t="str">
        <f>"3.1.1.00.06- Decimo terceiro salario"</f>
        <v>3.1.1.00.06- Decimo terceiro salario</v>
      </c>
      <c r="B211" s="10">
        <v>2875655.1</v>
      </c>
      <c r="C211" s="10">
        <v>534233.55000000005</v>
      </c>
      <c r="D211" s="10">
        <v>3409888.65</v>
      </c>
    </row>
    <row r="212" spans="1:4" x14ac:dyDescent="0.25">
      <c r="A212" s="2" t="str">
        <f>"3.1.1.00.07- Indenizacoes trabalhistas"</f>
        <v>3.1.1.00.07- Indenizacoes trabalhistas</v>
      </c>
      <c r="B212" s="10">
        <v>16461.669999999998</v>
      </c>
      <c r="C212" s="10">
        <v>38.69</v>
      </c>
      <c r="D212" s="10">
        <v>16500.36</v>
      </c>
    </row>
    <row r="213" spans="1:4" x14ac:dyDescent="0.25">
      <c r="A213" s="2" t="str">
        <f>"3.1.1.00.08- Bolsas de estagiario"</f>
        <v>3.1.1.00.08- Bolsas de estagiario</v>
      </c>
      <c r="B213" s="10">
        <v>84223.97</v>
      </c>
      <c r="C213" s="10">
        <v>18250.2</v>
      </c>
      <c r="D213" s="10">
        <v>102474.17</v>
      </c>
    </row>
    <row r="214" spans="1:4" x14ac:dyDescent="0.25">
      <c r="A214" s="2" t="str">
        <f>"3.1.1.00.10- Indenizações trabalhistas - ACT"</f>
        <v>3.1.1.00.10- Indenizações trabalhistas - ACT</v>
      </c>
      <c r="B214" s="10">
        <v>3933079.8</v>
      </c>
      <c r="C214" s="10">
        <v>0</v>
      </c>
      <c r="D214" s="10">
        <v>3933079.8</v>
      </c>
    </row>
    <row r="215" spans="1:4" x14ac:dyDescent="0.25">
      <c r="A215" s="2" t="str">
        <f>"3.1.2.01.00- ENCARGOS SOCIAIS"</f>
        <v>3.1.2.01.00- ENCARGOS SOCIAIS</v>
      </c>
      <c r="B215" s="10">
        <v>14993383.66</v>
      </c>
      <c r="C215" s="10">
        <v>2553896.31</v>
      </c>
      <c r="D215" s="10">
        <v>17547279.969999999</v>
      </c>
    </row>
    <row r="216" spans="1:4" x14ac:dyDescent="0.25">
      <c r="A216" s="2" t="str">
        <f>"3.1.2.01.01- INSS"</f>
        <v>3.1.2.01.01- INSS</v>
      </c>
      <c r="B216" s="10">
        <v>11667257.779999999</v>
      </c>
      <c r="C216" s="10">
        <v>1981947.9</v>
      </c>
      <c r="D216" s="10">
        <v>13649205.68</v>
      </c>
    </row>
    <row r="217" spans="1:4" x14ac:dyDescent="0.25">
      <c r="A217" s="2" t="str">
        <f>"3.1.2.01.02- FGTS"</f>
        <v>3.1.2.01.02- FGTS</v>
      </c>
      <c r="B217" s="10">
        <v>3326125.88</v>
      </c>
      <c r="C217" s="10">
        <v>571948.41</v>
      </c>
      <c r="D217" s="10">
        <v>3898074.29</v>
      </c>
    </row>
    <row r="218" spans="1:4" x14ac:dyDescent="0.25">
      <c r="A218" s="2" t="str">
        <f>"3.1.2.02.00- OUTRAS DESPESAS COM PESSOAL"</f>
        <v>3.1.2.02.00- OUTRAS DESPESAS COM PESSOAL</v>
      </c>
      <c r="B218" s="10">
        <v>7516941.2300000004</v>
      </c>
      <c r="C218" s="10">
        <v>1170823.07</v>
      </c>
      <c r="D218" s="10">
        <v>8687764.3000000007</v>
      </c>
    </row>
    <row r="219" spans="1:4" x14ac:dyDescent="0.25">
      <c r="A219" s="2" t="str">
        <f>"3.1.2.02.01- Seguros de Vida"</f>
        <v>3.1.2.02.01- Seguros de Vida</v>
      </c>
      <c r="B219" s="10">
        <v>56145.77</v>
      </c>
      <c r="C219" s="10">
        <v>-13205.47</v>
      </c>
      <c r="D219" s="10">
        <v>42940.3</v>
      </c>
    </row>
    <row r="220" spans="1:4" x14ac:dyDescent="0.25">
      <c r="A220" s="2" t="str">
        <f>"3.1.2.02.02- Ass. Medica Odontologica"</f>
        <v>3.1.2.02.02- Ass. Medica Odontologica</v>
      </c>
      <c r="B220" s="10">
        <v>2053273.18</v>
      </c>
      <c r="C220" s="10">
        <v>355654.03</v>
      </c>
      <c r="D220" s="10">
        <v>2408927.21</v>
      </c>
    </row>
    <row r="221" spans="1:4" x14ac:dyDescent="0.25">
      <c r="A221" s="2" t="str">
        <f>"3.1.2.02.03- Vale Transporte"</f>
        <v>3.1.2.02.03- Vale Transporte</v>
      </c>
      <c r="B221" s="10">
        <v>468781.79</v>
      </c>
      <c r="C221" s="10">
        <v>100296.98</v>
      </c>
      <c r="D221" s="10">
        <v>569078.77</v>
      </c>
    </row>
    <row r="222" spans="1:4" x14ac:dyDescent="0.25">
      <c r="A222" s="2" t="str">
        <f>"3.1.2.02.04- Vale Refeicao/Alimentacao"</f>
        <v>3.1.2.02.04- Vale Refeicao/Alimentacao</v>
      </c>
      <c r="B222" s="10">
        <v>4709692.7300000004</v>
      </c>
      <c r="C222" s="10">
        <v>704571</v>
      </c>
      <c r="D222" s="10">
        <v>5414263.7300000004</v>
      </c>
    </row>
    <row r="223" spans="1:4" x14ac:dyDescent="0.25">
      <c r="A223" s="2" t="str">
        <f>"3.1.2.02.05- Compl. Auxilio Doenca"</f>
        <v>3.1.2.02.05- Compl. Auxilio Doenca</v>
      </c>
      <c r="B223" s="10">
        <v>53068.63</v>
      </c>
      <c r="C223" s="10">
        <v>1679.33</v>
      </c>
      <c r="D223" s="10">
        <v>54747.96</v>
      </c>
    </row>
    <row r="224" spans="1:4" x14ac:dyDescent="0.25">
      <c r="A224" s="2" t="str">
        <f>"3.1.2.02.06- Cursos e Treinamentos"</f>
        <v>3.1.2.02.06- Cursos e Treinamentos</v>
      </c>
      <c r="B224" s="10">
        <v>46394</v>
      </c>
      <c r="C224" s="10">
        <v>945.3</v>
      </c>
      <c r="D224" s="10">
        <v>47339.3</v>
      </c>
    </row>
    <row r="225" spans="1:4" x14ac:dyDescent="0.25">
      <c r="A225" s="2" t="str">
        <f>"3.1.2.02.07- Auxilio Creche"</f>
        <v>3.1.2.02.07- Auxilio Creche</v>
      </c>
      <c r="B225" s="10">
        <v>129585.13</v>
      </c>
      <c r="C225" s="10">
        <v>20881.900000000001</v>
      </c>
      <c r="D225" s="10">
        <v>150467.03</v>
      </c>
    </row>
    <row r="226" spans="1:4" x14ac:dyDescent="0.25">
      <c r="A226" s="2" t="str">
        <f>"3.1.3.00.00- MATERIAIS"</f>
        <v>3.1.3.00.00- MATERIAIS</v>
      </c>
      <c r="B226" s="10">
        <v>489929.64</v>
      </c>
      <c r="C226" s="10">
        <v>82123.240000000005</v>
      </c>
      <c r="D226" s="10">
        <v>572052.88</v>
      </c>
    </row>
    <row r="227" spans="1:4" x14ac:dyDescent="0.25">
      <c r="A227" s="2" t="str">
        <f>"3.1.3.00.01- Bens de natureza permanente"</f>
        <v>3.1.3.00.01- Bens de natureza permanente</v>
      </c>
      <c r="B227" s="10">
        <v>8980.58</v>
      </c>
      <c r="C227" s="10">
        <v>674.9</v>
      </c>
      <c r="D227" s="10">
        <v>9655.48</v>
      </c>
    </row>
    <row r="228" spans="1:4" x14ac:dyDescent="0.25">
      <c r="A228" s="2" t="str">
        <f>"3.1.3.00.02- Lampadas e transformadores"</f>
        <v>3.1.3.00.02- Lampadas e transformadores</v>
      </c>
      <c r="B228" s="10">
        <v>9156</v>
      </c>
      <c r="C228" s="10">
        <v>0</v>
      </c>
      <c r="D228" s="10">
        <v>9156</v>
      </c>
    </row>
    <row r="229" spans="1:4" x14ac:dyDescent="0.25">
      <c r="A229" s="2" t="str">
        <f>"3.1.3.00.05- Placas/acessorios/mat.fixacao"</f>
        <v>3.1.3.00.05- Placas/acessorios/mat.fixacao</v>
      </c>
      <c r="B229" s="10">
        <v>605</v>
      </c>
      <c r="C229" s="10">
        <v>0</v>
      </c>
      <c r="D229" s="10">
        <v>605</v>
      </c>
    </row>
    <row r="230" spans="1:4" x14ac:dyDescent="0.25">
      <c r="A230" s="2" t="str">
        <f>"3.1.3.00.08- Material seguranca e uniformes"</f>
        <v>3.1.3.00.08- Material seguranca e uniformes</v>
      </c>
      <c r="B230" s="10">
        <v>3369.36</v>
      </c>
      <c r="C230" s="10">
        <v>949.62</v>
      </c>
      <c r="D230" s="10">
        <v>4318.9799999999996</v>
      </c>
    </row>
    <row r="231" spans="1:4" x14ac:dyDescent="0.25">
      <c r="A231" s="2" t="str">
        <f>"3.1.3.00.09- Material limp/conserv/copa/cozin"</f>
        <v>3.1.3.00.09- Material limp/conserv/copa/cozin</v>
      </c>
      <c r="B231" s="10">
        <v>76778.58</v>
      </c>
      <c r="C231" s="10">
        <v>15185</v>
      </c>
      <c r="D231" s="10">
        <v>91963.58</v>
      </c>
    </row>
    <row r="232" spans="1:4" x14ac:dyDescent="0.25">
      <c r="A232" s="2" t="str">
        <f>"3.1.3.00.10- Impressos e material de escritorio"</f>
        <v>3.1.3.00.10- Impressos e material de escritorio</v>
      </c>
      <c r="B232" s="10">
        <v>78039.570000000007</v>
      </c>
      <c r="C232" s="10">
        <v>12935.36</v>
      </c>
      <c r="D232" s="10">
        <v>90974.93</v>
      </c>
    </row>
    <row r="233" spans="1:4" x14ac:dyDescent="0.25">
      <c r="A233" s="2" t="str">
        <f>"3.1.3.00.11- Materiais manut. inst. prediais"</f>
        <v>3.1.3.00.11- Materiais manut. inst. prediais</v>
      </c>
      <c r="B233" s="10">
        <v>109542.67</v>
      </c>
      <c r="C233" s="10">
        <v>32423.05</v>
      </c>
      <c r="D233" s="10">
        <v>141965.72</v>
      </c>
    </row>
    <row r="234" spans="1:4" x14ac:dyDescent="0.25">
      <c r="A234" s="2" t="str">
        <f>"3.1.3.00.12- Carnes estacionamento rotativo"</f>
        <v>3.1.3.00.12- Carnes estacionamento rotativo</v>
      </c>
      <c r="B234" s="10">
        <v>168812.42</v>
      </c>
      <c r="C234" s="10">
        <v>17115.54</v>
      </c>
      <c r="D234" s="10">
        <v>185927.96</v>
      </c>
    </row>
    <row r="235" spans="1:4" x14ac:dyDescent="0.25">
      <c r="A235" s="2" t="str">
        <f>"3.1.3.00.15- Materiais e supriment informatic"</f>
        <v>3.1.3.00.15- Materiais e supriment informatic</v>
      </c>
      <c r="B235" s="10">
        <v>20613.21</v>
      </c>
      <c r="C235" s="10">
        <v>2839.77</v>
      </c>
      <c r="D235" s="10">
        <v>23452.98</v>
      </c>
    </row>
    <row r="236" spans="1:4" x14ac:dyDescent="0.25">
      <c r="A236" s="2" t="str">
        <f>"3.1.3.00.17- Comb./lubrificantes"</f>
        <v>3.1.3.00.17- Comb./lubrificantes</v>
      </c>
      <c r="B236" s="10">
        <v>2207.25</v>
      </c>
      <c r="C236" s="10">
        <v>0</v>
      </c>
      <c r="D236" s="10">
        <v>2207.25</v>
      </c>
    </row>
    <row r="237" spans="1:4" x14ac:dyDescent="0.25">
      <c r="A237" s="2" t="str">
        <f>"3.1.3.00.99- Outros materiais"</f>
        <v>3.1.3.00.99- Outros materiais</v>
      </c>
      <c r="B237" s="10">
        <v>11825</v>
      </c>
      <c r="C237" s="10">
        <v>0</v>
      </c>
      <c r="D237" s="10">
        <v>11825</v>
      </c>
    </row>
    <row r="238" spans="1:4" x14ac:dyDescent="0.25">
      <c r="A238" s="2" t="str">
        <f>"3.1.4.00.00- SERVICOS PRESTADOS POR TERCEIROS"</f>
        <v>3.1.4.00.00- SERVICOS PRESTADOS POR TERCEIROS</v>
      </c>
      <c r="B238" s="10">
        <v>10232605.98</v>
      </c>
      <c r="C238" s="10">
        <v>3317298.22</v>
      </c>
      <c r="D238" s="10">
        <v>13549904.199999999</v>
      </c>
    </row>
    <row r="239" spans="1:4" x14ac:dyDescent="0.25">
      <c r="A239" s="2" t="str">
        <f>"3.1.4.00.03- Locacao de equipamentos"</f>
        <v>3.1.4.00.03- Locacao de equipamentos</v>
      </c>
      <c r="B239" s="10">
        <v>25300.799999999999</v>
      </c>
      <c r="C239" s="10">
        <v>12650.4</v>
      </c>
      <c r="D239" s="10">
        <v>37951.199999999997</v>
      </c>
    </row>
    <row r="240" spans="1:4" x14ac:dyDescent="0.25">
      <c r="A240" s="2" t="str">
        <f>"3.1.4.00.08- Servicos de auditoria"</f>
        <v>3.1.4.00.08- Servicos de auditoria</v>
      </c>
      <c r="B240" s="10">
        <v>23266.639999999999</v>
      </c>
      <c r="C240" s="10">
        <v>2908.33</v>
      </c>
      <c r="D240" s="10">
        <v>26174.97</v>
      </c>
    </row>
    <row r="241" spans="1:4" x14ac:dyDescent="0.25">
      <c r="A241" s="2" t="str">
        <f>"3.1.4.00.10- Mao de obra contratada"</f>
        <v>3.1.4.00.10- Mao de obra contratada</v>
      </c>
      <c r="B241" s="10">
        <v>391465.37</v>
      </c>
      <c r="C241" s="10">
        <v>34298.71</v>
      </c>
      <c r="D241" s="10">
        <v>425764.08</v>
      </c>
    </row>
    <row r="242" spans="1:4" x14ac:dyDescent="0.25">
      <c r="A242" s="2" t="str">
        <f>"3.1.4.00.13- Publicidade e divulgacao"</f>
        <v>3.1.4.00.13- Publicidade e divulgacao</v>
      </c>
      <c r="B242" s="10">
        <v>84675.4</v>
      </c>
      <c r="C242" s="10">
        <v>11419.13</v>
      </c>
      <c r="D242" s="10">
        <v>96094.53</v>
      </c>
    </row>
    <row r="243" spans="1:4" x14ac:dyDescent="0.25">
      <c r="A243" s="2" t="str">
        <f>"3.1.4.00.14- Informatica-serv. e/ou locacao"</f>
        <v>3.1.4.00.14- Informatica-serv. e/ou locacao</v>
      </c>
      <c r="B243" s="10">
        <v>771611.34</v>
      </c>
      <c r="C243" s="10">
        <v>185058.69</v>
      </c>
      <c r="D243" s="10">
        <v>956670.03</v>
      </c>
    </row>
    <row r="244" spans="1:4" x14ac:dyDescent="0.25">
      <c r="A244" s="2" t="str">
        <f>"3.1.4.00.15- Outros serv. prestados - PF"</f>
        <v>3.1.4.00.15- Outros serv. prestados - PF</v>
      </c>
      <c r="B244" s="10">
        <v>48761</v>
      </c>
      <c r="C244" s="10">
        <v>10222.1</v>
      </c>
      <c r="D244" s="10">
        <v>58983.1</v>
      </c>
    </row>
    <row r="245" spans="1:4" x14ac:dyDescent="0.25">
      <c r="A245" s="2" t="str">
        <f>"3.1.4.00.16- Outros serv. Prestados - PJ"</f>
        <v>3.1.4.00.16- Outros serv. Prestados - PJ</v>
      </c>
      <c r="B245" s="10">
        <v>130986.07</v>
      </c>
      <c r="C245" s="10">
        <v>16596.89</v>
      </c>
      <c r="D245" s="10">
        <v>147582.96</v>
      </c>
    </row>
    <row r="246" spans="1:4" x14ac:dyDescent="0.25">
      <c r="A246" s="2" t="str">
        <f>"3.1.4.00.17- Servicos postais"</f>
        <v>3.1.4.00.17- Servicos postais</v>
      </c>
      <c r="B246" s="10">
        <v>30497.94</v>
      </c>
      <c r="C246" s="10">
        <v>3370.94</v>
      </c>
      <c r="D246" s="10">
        <v>33868.879999999997</v>
      </c>
    </row>
    <row r="247" spans="1:4" x14ac:dyDescent="0.25">
      <c r="A247" s="2" t="str">
        <f>"3.1.4.00.18- INSS s/servicos de terceiros"</f>
        <v>3.1.4.00.18- INSS s/servicos de terceiros</v>
      </c>
      <c r="B247" s="10">
        <v>14308.04</v>
      </c>
      <c r="C247" s="10">
        <v>1483.83</v>
      </c>
      <c r="D247" s="10">
        <v>15791.87</v>
      </c>
    </row>
    <row r="248" spans="1:4" x14ac:dyDescent="0.25">
      <c r="A248" s="2" t="str">
        <f>"3.1.4.00.19- Manut. imoveis/instal/equip.oper"</f>
        <v>3.1.4.00.19- Manut. imoveis/instal/equip.oper</v>
      </c>
      <c r="B248" s="10">
        <v>279068.95</v>
      </c>
      <c r="C248" s="10">
        <v>19209.080000000002</v>
      </c>
      <c r="D248" s="10">
        <v>298278.03000000003</v>
      </c>
    </row>
    <row r="249" spans="1:4" x14ac:dyDescent="0.25">
      <c r="A249" s="2" t="str">
        <f>"3.1.4.00.21- Manut. moveis e equip. Escritorio"</f>
        <v>3.1.4.00.21- Manut. moveis e equip. Escritorio</v>
      </c>
      <c r="B249" s="10">
        <v>0</v>
      </c>
      <c r="C249" s="10">
        <v>490</v>
      </c>
      <c r="D249" s="10">
        <v>490</v>
      </c>
    </row>
    <row r="250" spans="1:4" x14ac:dyDescent="0.25">
      <c r="A250" s="2" t="str">
        <f>"3.1.4.00.22- Consultoria tec.Operacional"</f>
        <v>3.1.4.00.22- Consultoria tec.Operacional</v>
      </c>
      <c r="B250" s="10">
        <v>2800</v>
      </c>
      <c r="C250" s="10">
        <v>0</v>
      </c>
      <c r="D250" s="10">
        <v>2800</v>
      </c>
    </row>
    <row r="251" spans="1:4" x14ac:dyDescent="0.25">
      <c r="A251" s="2" t="str">
        <f>"3.1.4.00.24- Loc.serv.mensageiro"</f>
        <v>3.1.4.00.24- Loc.serv.mensageiro</v>
      </c>
      <c r="B251" s="10">
        <v>19527.23</v>
      </c>
      <c r="C251" s="10">
        <v>3626.67</v>
      </c>
      <c r="D251" s="10">
        <v>23153.9</v>
      </c>
    </row>
    <row r="252" spans="1:4" x14ac:dyDescent="0.25">
      <c r="A252" s="2" t="str">
        <f>"3.1.4.00.26- Serv.limp.conserv."</f>
        <v>3.1.4.00.26- Serv.limp.conserv.</v>
      </c>
      <c r="B252" s="10">
        <v>7841894.1799999997</v>
      </c>
      <c r="C252" s="10">
        <v>3039995.79</v>
      </c>
      <c r="D252" s="10">
        <v>10881889.970000001</v>
      </c>
    </row>
    <row r="253" spans="1:4" x14ac:dyDescent="0.25">
      <c r="A253" s="2" t="str">
        <f>"3.1.4.00.29- Servicos pesquisa"</f>
        <v>3.1.4.00.29- Servicos pesquisa</v>
      </c>
      <c r="B253" s="10">
        <v>0</v>
      </c>
      <c r="C253" s="10">
        <v>10945.41</v>
      </c>
      <c r="D253" s="10">
        <v>10945.41</v>
      </c>
    </row>
    <row r="254" spans="1:4" x14ac:dyDescent="0.25">
      <c r="A254" s="2" t="str">
        <f>"3.1.4.00.34- Comissao s/venda rotativo"</f>
        <v>3.1.4.00.34- Comissao s/venda rotativo</v>
      </c>
      <c r="B254" s="10">
        <v>347665.75</v>
      </c>
      <c r="C254" s="10">
        <v>54251.41</v>
      </c>
      <c r="D254" s="10">
        <v>401917.16</v>
      </c>
    </row>
    <row r="255" spans="1:4" x14ac:dyDescent="0.25">
      <c r="A255" s="2" t="str">
        <f>"3.1.4.00.36- (-) Desconto ISSQN conf Lei 9145 serv. P"</f>
        <v>3.1.4.00.36- (-) Desconto ISSQN conf Lei 9145 serv. P</v>
      </c>
      <c r="B255" s="10">
        <v>-250427.79</v>
      </c>
      <c r="C255" s="10">
        <v>-116589.16</v>
      </c>
      <c r="D255" s="10">
        <v>-367016.95</v>
      </c>
    </row>
    <row r="256" spans="1:4" x14ac:dyDescent="0.25">
      <c r="A256" s="2" t="str">
        <f>"3.1.4.00.39- Convênio Guarda Municipal"</f>
        <v>3.1.4.00.39- Convênio Guarda Municipal</v>
      </c>
      <c r="B256" s="10">
        <v>471205.06</v>
      </c>
      <c r="C256" s="10">
        <v>27360</v>
      </c>
      <c r="D256" s="10">
        <v>498565.06</v>
      </c>
    </row>
    <row r="257" spans="1:4" x14ac:dyDescent="0.25">
      <c r="A257" s="2" t="str">
        <f>"3.1.5.00.00- TARIFAS PUBLICAS"</f>
        <v>3.1.5.00.00- TARIFAS PUBLICAS</v>
      </c>
      <c r="B257" s="10">
        <v>601948.67000000004</v>
      </c>
      <c r="C257" s="10">
        <v>144816.6</v>
      </c>
      <c r="D257" s="10">
        <v>746765.27</v>
      </c>
    </row>
    <row r="258" spans="1:4" x14ac:dyDescent="0.25">
      <c r="A258" s="2" t="str">
        <f>"3.1.5.00.02- Energia eletrica"</f>
        <v>3.1.5.00.02- Energia eletrica</v>
      </c>
      <c r="B258" s="10">
        <v>430574.87</v>
      </c>
      <c r="C258" s="10">
        <v>128633.3</v>
      </c>
      <c r="D258" s="10">
        <v>559208.17000000004</v>
      </c>
    </row>
    <row r="259" spans="1:4" x14ac:dyDescent="0.25">
      <c r="A259" s="2" t="str">
        <f>"3.1.5.00.03- Telefone"</f>
        <v>3.1.5.00.03- Telefone</v>
      </c>
      <c r="B259" s="10">
        <v>171373.8</v>
      </c>
      <c r="C259" s="10">
        <v>16183.3</v>
      </c>
      <c r="D259" s="10">
        <v>187557.1</v>
      </c>
    </row>
    <row r="260" spans="1:4" x14ac:dyDescent="0.25">
      <c r="A260" s="2" t="str">
        <f>"3.1.6.00.00- DESPESAS TRIBUTARIAS"</f>
        <v>3.1.6.00.00- DESPESAS TRIBUTARIAS</v>
      </c>
      <c r="B260" s="10">
        <v>1428346.9</v>
      </c>
      <c r="C260" s="10">
        <v>216969.52</v>
      </c>
      <c r="D260" s="10">
        <v>1645316.42</v>
      </c>
    </row>
    <row r="261" spans="1:4" x14ac:dyDescent="0.25">
      <c r="A261" s="2" t="str">
        <f>"3.1.6.00.01- Taxas legais"</f>
        <v>3.1.6.00.01- Taxas legais</v>
      </c>
      <c r="B261" s="10">
        <v>21656.1</v>
      </c>
      <c r="C261" s="10">
        <v>0</v>
      </c>
      <c r="D261" s="10">
        <v>21656.1</v>
      </c>
    </row>
    <row r="262" spans="1:4" x14ac:dyDescent="0.25">
      <c r="A262" s="2" t="str">
        <f>"3.1.6.00.03- IOF"</f>
        <v>3.1.6.00.03- IOF</v>
      </c>
      <c r="B262" s="10">
        <v>1178</v>
      </c>
      <c r="C262" s="10">
        <v>0</v>
      </c>
      <c r="D262" s="10">
        <v>1178</v>
      </c>
    </row>
    <row r="263" spans="1:4" x14ac:dyDescent="0.25">
      <c r="A263" s="2" t="str">
        <f>"3.1.6.00.06- PIS"</f>
        <v>3.1.6.00.06- PIS</v>
      </c>
      <c r="B263" s="10">
        <v>240896.06</v>
      </c>
      <c r="C263" s="10">
        <v>37591.61</v>
      </c>
      <c r="D263" s="10">
        <v>278487.67</v>
      </c>
    </row>
    <row r="264" spans="1:4" x14ac:dyDescent="0.25">
      <c r="A264" s="2" t="str">
        <f>"3.1.6.00.07- COFINS"</f>
        <v>3.1.6.00.07- COFINS</v>
      </c>
      <c r="B264" s="10">
        <v>1109581.8700000001</v>
      </c>
      <c r="C264" s="10">
        <v>173149.24</v>
      </c>
      <c r="D264" s="10">
        <v>1282731.1100000001</v>
      </c>
    </row>
    <row r="265" spans="1:4" x14ac:dyDescent="0.25">
      <c r="A265" s="2" t="str">
        <f>"3.1.6.00.08- Multas indedutiveis"</f>
        <v>3.1.6.00.08- Multas indedutiveis</v>
      </c>
      <c r="B265" s="10">
        <v>0.84</v>
      </c>
      <c r="C265" s="10">
        <v>0</v>
      </c>
      <c r="D265" s="10">
        <v>0.84</v>
      </c>
    </row>
    <row r="266" spans="1:4" x14ac:dyDescent="0.25">
      <c r="A266" s="2" t="str">
        <f>"3.1.6.00.10- ISS s/faturamento"</f>
        <v>3.1.6.00.10- ISS s/faturamento</v>
      </c>
      <c r="B266" s="10">
        <v>12582.89</v>
      </c>
      <c r="C266" s="10">
        <v>1460.05</v>
      </c>
      <c r="D266" s="10">
        <v>14042.94</v>
      </c>
    </row>
    <row r="267" spans="1:4" x14ac:dyDescent="0.25">
      <c r="A267" s="2" t="str">
        <f>"3.1.6.00.14- Contrib.entid.classe"</f>
        <v>3.1.6.00.14- Contrib.entid.classe</v>
      </c>
      <c r="B267" s="10">
        <v>22582.32</v>
      </c>
      <c r="C267" s="10">
        <v>218.54</v>
      </c>
      <c r="D267" s="10">
        <v>22800.86</v>
      </c>
    </row>
    <row r="268" spans="1:4" x14ac:dyDescent="0.25">
      <c r="A268" s="2" t="str">
        <f>"3.1.6.00.15- INSS Serv.terceiros"</f>
        <v>3.1.6.00.15- INSS Serv.terceiros</v>
      </c>
      <c r="B268" s="10">
        <v>11122.13</v>
      </c>
      <c r="C268" s="10">
        <v>2044.4</v>
      </c>
      <c r="D268" s="10">
        <v>13166.53</v>
      </c>
    </row>
    <row r="269" spans="1:4" x14ac:dyDescent="0.25">
      <c r="A269" s="2" t="str">
        <f>"3.1.6.00.17- PIS s/ receitas financeiras"</f>
        <v>3.1.6.00.17- PIS s/ receitas financeiras</v>
      </c>
      <c r="B269" s="10">
        <v>1222.6500000000001</v>
      </c>
      <c r="C269" s="10">
        <v>350.26</v>
      </c>
      <c r="D269" s="10">
        <v>1572.91</v>
      </c>
    </row>
    <row r="270" spans="1:4" x14ac:dyDescent="0.25">
      <c r="A270" s="2" t="str">
        <f>"3.1.6.00.18- Cofins s/ receitas financeiras"</f>
        <v>3.1.6.00.18- Cofins s/ receitas financeiras</v>
      </c>
      <c r="B270" s="10">
        <v>7524.04</v>
      </c>
      <c r="C270" s="10">
        <v>2155.42</v>
      </c>
      <c r="D270" s="10">
        <v>9679.4599999999991</v>
      </c>
    </row>
    <row r="271" spans="1:4" x14ac:dyDescent="0.25">
      <c r="A271" s="2" t="str">
        <f>"3.1.7.00.00- DESPESAS FINANCEIRAS"</f>
        <v>3.1.7.00.00- DESPESAS FINANCEIRAS</v>
      </c>
      <c r="B271" s="10">
        <v>413095.05</v>
      </c>
      <c r="C271" s="10">
        <v>80498.55</v>
      </c>
      <c r="D271" s="10">
        <v>493593.59999999998</v>
      </c>
    </row>
    <row r="272" spans="1:4" x14ac:dyDescent="0.25">
      <c r="A272" s="2" t="str">
        <f>"3.1.7.01.01- Juros passivos curto prazo"</f>
        <v>3.1.7.01.01- Juros passivos curto prazo</v>
      </c>
      <c r="B272" s="10">
        <v>405427.83</v>
      </c>
      <c r="C272" s="10">
        <v>79275.600000000006</v>
      </c>
      <c r="D272" s="10">
        <v>484703.43</v>
      </c>
    </row>
    <row r="273" spans="1:4" x14ac:dyDescent="0.25">
      <c r="A273" s="2" t="str">
        <f>"3.1.7.01.02- Despesas bancarias"</f>
        <v>3.1.7.01.02- Despesas bancarias</v>
      </c>
      <c r="B273" s="10">
        <v>7667.22</v>
      </c>
      <c r="C273" s="10">
        <v>1222.95</v>
      </c>
      <c r="D273" s="10">
        <v>8890.17</v>
      </c>
    </row>
    <row r="274" spans="1:4" x14ac:dyDescent="0.25">
      <c r="A274" s="2" t="str">
        <f>"3.1.8.00.00- OUTRAS DESPESAS"</f>
        <v>3.1.8.00.00- OUTRAS DESPESAS</v>
      </c>
      <c r="B274" s="10">
        <v>2080300.81</v>
      </c>
      <c r="C274" s="10">
        <v>718259.07</v>
      </c>
      <c r="D274" s="10">
        <v>2798559.88</v>
      </c>
    </row>
    <row r="275" spans="1:4" x14ac:dyDescent="0.25">
      <c r="A275" s="2" t="str">
        <f>"3.1.8.00.01- Despesas de viagem"</f>
        <v>3.1.8.00.01- Despesas de viagem</v>
      </c>
      <c r="B275" s="10">
        <v>49159.03</v>
      </c>
      <c r="C275" s="10">
        <v>0</v>
      </c>
      <c r="D275" s="10">
        <v>49159.03</v>
      </c>
    </row>
    <row r="276" spans="1:4" x14ac:dyDescent="0.25">
      <c r="A276" s="2" t="str">
        <f>"3.1.8.00.05- Depreciacao/amort"</f>
        <v>3.1.8.00.05- Depreciacao/amort</v>
      </c>
      <c r="B276" s="10">
        <v>127401.71</v>
      </c>
      <c r="C276" s="10">
        <v>21381.63</v>
      </c>
      <c r="D276" s="10">
        <v>148783.34</v>
      </c>
    </row>
    <row r="277" spans="1:4" x14ac:dyDescent="0.25">
      <c r="A277" s="2" t="str">
        <f>"3.1.8.00.06- Seguros bens moveis e imoveis"</f>
        <v>3.1.8.00.06- Seguros bens moveis e imoveis</v>
      </c>
      <c r="B277" s="10">
        <v>5069.42</v>
      </c>
      <c r="C277" s="10">
        <v>690.41</v>
      </c>
      <c r="D277" s="10">
        <v>5759.83</v>
      </c>
    </row>
    <row r="278" spans="1:4" x14ac:dyDescent="0.25">
      <c r="A278" s="2" t="str">
        <f>"3.1.8.00.08- Alugueis e condominio"</f>
        <v>3.1.8.00.08- Alugueis e condominio</v>
      </c>
      <c r="B278" s="10">
        <v>30430.86</v>
      </c>
      <c r="C278" s="10">
        <v>5588.77</v>
      </c>
      <c r="D278" s="10">
        <v>36019.629999999997</v>
      </c>
    </row>
    <row r="279" spans="1:4" x14ac:dyDescent="0.25">
      <c r="A279" s="2" t="str">
        <f>"3.1.8.00.12- Acoes judiciais terceiros"</f>
        <v>3.1.8.00.12- Acoes judiciais terceiros</v>
      </c>
      <c r="B279" s="10">
        <v>74117.039999999994</v>
      </c>
      <c r="C279" s="10">
        <v>0</v>
      </c>
      <c r="D279" s="10">
        <v>74117.039999999994</v>
      </c>
    </row>
    <row r="280" spans="1:4" x14ac:dyDescent="0.25">
      <c r="A280" s="2" t="str">
        <f>"3.1.8.00.16- Baixa de imobilizado"</f>
        <v>3.1.8.00.16- Baixa de imobilizado</v>
      </c>
      <c r="B280" s="10">
        <v>0</v>
      </c>
      <c r="C280" s="10">
        <v>43459.94</v>
      </c>
      <c r="D280" s="10">
        <v>43459.94</v>
      </c>
    </row>
    <row r="281" spans="1:4" x14ac:dyDescent="0.25">
      <c r="A281" s="2" t="str">
        <f>"3.1.8.00.17- Gastos com eventos e promocoes"</f>
        <v>3.1.8.00.17- Gastos com eventos e promocoes</v>
      </c>
      <c r="B281" s="10">
        <v>11209.98</v>
      </c>
      <c r="C281" s="10">
        <v>3000</v>
      </c>
      <c r="D281" s="10">
        <v>14209.98</v>
      </c>
    </row>
    <row r="282" spans="1:4" x14ac:dyDescent="0.25">
      <c r="A282" s="2" t="str">
        <f>"3.1.8.00.18- Provisao para perdas"</f>
        <v>3.1.8.00.18- Provisao para perdas</v>
      </c>
      <c r="B282" s="10">
        <v>351828.21</v>
      </c>
      <c r="C282" s="10">
        <v>32996.199999999997</v>
      </c>
      <c r="D282" s="10">
        <v>384824.41</v>
      </c>
    </row>
    <row r="283" spans="1:4" x14ac:dyDescent="0.25">
      <c r="A283" s="2" t="str">
        <f>"3.1.8.00.22- Perda tributos a recuperar"</f>
        <v>3.1.8.00.22- Perda tributos a recuperar</v>
      </c>
      <c r="B283" s="10">
        <v>1395955.29</v>
      </c>
      <c r="C283" s="10">
        <v>0</v>
      </c>
      <c r="D283" s="10">
        <v>1395955.29</v>
      </c>
    </row>
    <row r="284" spans="1:4" x14ac:dyDescent="0.25">
      <c r="A284" s="2" t="str">
        <f>"3.1.8.00.23- Custas/Despesas Judiciais"</f>
        <v>3.1.8.00.23- Custas/Despesas Judiciais</v>
      </c>
      <c r="B284" s="10">
        <v>29857</v>
      </c>
      <c r="C284" s="10">
        <v>10000.879999999999</v>
      </c>
      <c r="D284" s="10">
        <v>39857.879999999997</v>
      </c>
    </row>
    <row r="285" spans="1:4" x14ac:dyDescent="0.25">
      <c r="A285" s="2" t="str">
        <f>"3.1.8.00.30- Estacionamento Rotativo Digital"</f>
        <v>3.1.8.00.30- Estacionamento Rotativo Digital</v>
      </c>
      <c r="B285" s="10">
        <v>0</v>
      </c>
      <c r="C285" s="10">
        <v>600551.5</v>
      </c>
      <c r="D285" s="10">
        <v>600551.5</v>
      </c>
    </row>
    <row r="286" spans="1:4" x14ac:dyDescent="0.25">
      <c r="A286" s="2" t="str">
        <f>"3.1.8.00.99- Despesas diversas"</f>
        <v>3.1.8.00.99- Despesas diversas</v>
      </c>
      <c r="B286" s="10">
        <v>5272.27</v>
      </c>
      <c r="C286" s="10">
        <v>589.74</v>
      </c>
      <c r="D286" s="10">
        <v>5862.01</v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"RECEITAS"</f>
        <v>RECEITAS</v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"4.0.0.00.00- RECEITAS"</f>
        <v>4.0.0.00.00- RECEITAS</v>
      </c>
      <c r="B298" s="10">
        <v>76390697.659999996</v>
      </c>
      <c r="C298" s="10">
        <v>15027184.77</v>
      </c>
      <c r="D298" s="10">
        <v>91417882.430000007</v>
      </c>
    </row>
    <row r="299" spans="1:4" x14ac:dyDescent="0.25">
      <c r="A299" s="2" t="str">
        <f>"4.1.0.00.00- RECEITAS BHTRANS"</f>
        <v>4.1.0.00.00- RECEITAS BHTRANS</v>
      </c>
      <c r="B299" s="10">
        <v>75439760.469999999</v>
      </c>
      <c r="C299" s="10">
        <v>14812455.449999999</v>
      </c>
      <c r="D299" s="10">
        <v>90252215.920000002</v>
      </c>
    </row>
    <row r="300" spans="1:4" x14ac:dyDescent="0.25">
      <c r="A300" s="2" t="str">
        <f>"4.1.1.00.00- RECEITAS OPERACIONAIS"</f>
        <v>4.1.1.00.00- RECEITAS OPERACIONAIS</v>
      </c>
      <c r="B300" s="10">
        <v>75127514.319999993</v>
      </c>
      <c r="C300" s="10">
        <v>14729718.890000001</v>
      </c>
      <c r="D300" s="10">
        <v>89857233.209999993</v>
      </c>
    </row>
    <row r="301" spans="1:4" x14ac:dyDescent="0.25">
      <c r="A301" s="2" t="str">
        <f>"4.1.1.00.05- Midia taxi, escolar e suplementar"</f>
        <v>4.1.1.00.05- Midia taxi, escolar e suplementar</v>
      </c>
      <c r="B301" s="10">
        <v>15080.97</v>
      </c>
      <c r="C301" s="10">
        <v>2585.44</v>
      </c>
      <c r="D301" s="10">
        <v>17666.41</v>
      </c>
    </row>
    <row r="302" spans="1:4" x14ac:dyDescent="0.25">
      <c r="A302" s="2" t="str">
        <f>"4.1.1.00.06- Midia em onibus"</f>
        <v>4.1.1.00.06- Midia em onibus</v>
      </c>
      <c r="B302" s="10">
        <v>333042.52</v>
      </c>
      <c r="C302" s="10">
        <v>56004.22</v>
      </c>
      <c r="D302" s="10">
        <v>389046.74</v>
      </c>
    </row>
    <row r="303" spans="1:4" x14ac:dyDescent="0.25">
      <c r="A303" s="2" t="str">
        <f>"4.1.1.00.07- Midias diversas"</f>
        <v>4.1.1.00.07- Midias diversas</v>
      </c>
      <c r="B303" s="10">
        <v>52937.37</v>
      </c>
      <c r="C303" s="10">
        <v>9057.64</v>
      </c>
      <c r="D303" s="10">
        <v>61995.01</v>
      </c>
    </row>
    <row r="304" spans="1:4" x14ac:dyDescent="0.25">
      <c r="A304" s="2" t="str">
        <f>"4.1.1.00.08- Estacionamento Rotativo"</f>
        <v>4.1.1.00.08- Estacionamento Rotativo</v>
      </c>
      <c r="B304" s="10">
        <v>10289077.17</v>
      </c>
      <c r="C304" s="10">
        <v>1110965.8</v>
      </c>
      <c r="D304" s="10">
        <v>11400042.970000001</v>
      </c>
    </row>
    <row r="305" spans="1:4" x14ac:dyDescent="0.25">
      <c r="A305" s="2" t="str">
        <f>"4.1.1.00.10- Transf. financeira PBH"</f>
        <v>4.1.1.00.10- Transf. financeira PBH</v>
      </c>
      <c r="B305" s="10">
        <v>61602835.240000002</v>
      </c>
      <c r="C305" s="10">
        <v>12695019.810000001</v>
      </c>
      <c r="D305" s="10">
        <v>74297855.049999997</v>
      </c>
    </row>
    <row r="306" spans="1:4" x14ac:dyDescent="0.25">
      <c r="A306" s="2" t="str">
        <f>"4.1.1.00.16- Multas transporte coletivo"</f>
        <v>4.1.1.00.16- Multas transporte coletivo</v>
      </c>
      <c r="B306" s="10">
        <v>1759141</v>
      </c>
      <c r="C306" s="10">
        <v>164980.99</v>
      </c>
      <c r="D306" s="10">
        <v>1924121.99</v>
      </c>
    </row>
    <row r="307" spans="1:4" x14ac:dyDescent="0.25">
      <c r="A307" s="2" t="str">
        <f>"4.1.1.00.17- Multas transporte publico"</f>
        <v>4.1.1.00.17- Multas transporte publico</v>
      </c>
      <c r="B307" s="10">
        <v>365643.41</v>
      </c>
      <c r="C307" s="10">
        <v>100827.32</v>
      </c>
      <c r="D307" s="10">
        <v>466470.73</v>
      </c>
    </row>
    <row r="308" spans="1:4" x14ac:dyDescent="0.25">
      <c r="A308" s="2" t="str">
        <f>"4.1.1.00.19- Subconcessao frotas de taxi"</f>
        <v>4.1.1.00.19- Subconcessao frotas de taxi</v>
      </c>
      <c r="B308" s="10">
        <v>348956.64</v>
      </c>
      <c r="C308" s="10">
        <v>135977.67000000001</v>
      </c>
      <c r="D308" s="10">
        <v>484934.31</v>
      </c>
    </row>
    <row r="309" spans="1:4" x14ac:dyDescent="0.25">
      <c r="A309" s="2" t="str">
        <f>"4.1.1.00.21- Estacionamento Rotativo Digital"</f>
        <v>4.1.1.00.21- Estacionamento Rotativo Digital</v>
      </c>
      <c r="B309" s="10">
        <v>360800</v>
      </c>
      <c r="C309" s="10">
        <v>454300</v>
      </c>
      <c r="D309" s="10">
        <v>815100</v>
      </c>
    </row>
    <row r="310" spans="1:4" x14ac:dyDescent="0.25">
      <c r="A310" s="2" t="str">
        <f>"4.1.8.00.00- RECEITAS ALUGUEIS ESTACOES"</f>
        <v>4.1.8.00.00- RECEITAS ALUGUEIS ESTACOES</v>
      </c>
      <c r="B310" s="10">
        <v>312246.15000000002</v>
      </c>
      <c r="C310" s="10">
        <v>82736.56</v>
      </c>
      <c r="D310" s="10">
        <v>394982.71</v>
      </c>
    </row>
    <row r="311" spans="1:4" x14ac:dyDescent="0.25">
      <c r="A311" s="2" t="str">
        <f>"4.1.8.00.01- Alugueis Estacoes"</f>
        <v>4.1.8.00.01- Alugueis Estacoes</v>
      </c>
      <c r="B311" s="10">
        <v>312246.15000000002</v>
      </c>
      <c r="C311" s="10">
        <v>82736.56</v>
      </c>
      <c r="D311" s="10">
        <v>394982.71</v>
      </c>
    </row>
    <row r="312" spans="1:4" x14ac:dyDescent="0.25">
      <c r="A312" s="2" t="str">
        <f>"4.2.0.00.00- RECEITAS FINANCEIRAS"</f>
        <v>4.2.0.00.00- RECEITAS FINANCEIRAS</v>
      </c>
      <c r="B312" s="10">
        <v>188101.03</v>
      </c>
      <c r="C312" s="10">
        <v>53885.54</v>
      </c>
      <c r="D312" s="10">
        <v>241986.57</v>
      </c>
    </row>
    <row r="313" spans="1:4" x14ac:dyDescent="0.25">
      <c r="A313" s="2" t="str">
        <f>"4.2.1.00.00- RECEITAS FINANCEIRAS"</f>
        <v>4.2.1.00.00- RECEITAS FINANCEIRAS</v>
      </c>
      <c r="B313" s="10">
        <v>187766.27</v>
      </c>
      <c r="C313" s="10">
        <v>53827.94</v>
      </c>
      <c r="D313" s="10">
        <v>241594.21</v>
      </c>
    </row>
    <row r="314" spans="1:4" x14ac:dyDescent="0.25">
      <c r="A314" s="2" t="str">
        <f>"4.2.1.00.01- Rendimentos aplic. Financeira"</f>
        <v>4.2.1.00.01- Rendimentos aplic. Financeira</v>
      </c>
      <c r="B314" s="10">
        <v>182023.3</v>
      </c>
      <c r="C314" s="10">
        <v>53662.31</v>
      </c>
      <c r="D314" s="10">
        <v>235685.61</v>
      </c>
    </row>
    <row r="315" spans="1:4" x14ac:dyDescent="0.25">
      <c r="A315" s="2" t="str">
        <f>"4.2.1.00.02- Juros ativos"</f>
        <v>4.2.1.00.02- Juros ativos</v>
      </c>
      <c r="B315" s="10">
        <v>1147.48</v>
      </c>
      <c r="C315" s="10">
        <v>165.63</v>
      </c>
      <c r="D315" s="10">
        <v>1313.11</v>
      </c>
    </row>
    <row r="316" spans="1:4" x14ac:dyDescent="0.25">
      <c r="A316" s="2" t="str">
        <f>"4.2.1.00.05- Receitas Financeiras - Convênio"</f>
        <v>4.2.1.00.05- Receitas Financeiras - Convênio</v>
      </c>
      <c r="B316" s="10">
        <v>4595.49</v>
      </c>
      <c r="C316" s="10">
        <v>0</v>
      </c>
      <c r="D316" s="10">
        <v>4595.49</v>
      </c>
    </row>
    <row r="317" spans="1:4" x14ac:dyDescent="0.25">
      <c r="A317" s="2" t="str">
        <f>"4.2.2.00.00- VARIACOES MONETARIAS ATIVAS"</f>
        <v>4.2.2.00.00- VARIACOES MONETARIAS ATIVAS</v>
      </c>
      <c r="B317" s="10">
        <v>334.76</v>
      </c>
      <c r="C317" s="10">
        <v>57.6</v>
      </c>
      <c r="D317" s="10">
        <v>392.36</v>
      </c>
    </row>
    <row r="318" spans="1:4" x14ac:dyDescent="0.25">
      <c r="A318" s="2" t="str">
        <f>"4.2.2.00.01- Variações monetárias ativas"</f>
        <v>4.2.2.00.01- Variações monetárias ativas</v>
      </c>
      <c r="B318" s="10">
        <v>334.76</v>
      </c>
      <c r="C318" s="10">
        <v>57.6</v>
      </c>
      <c r="D318" s="10">
        <v>392.36</v>
      </c>
    </row>
    <row r="319" spans="1:4" x14ac:dyDescent="0.25">
      <c r="A319" s="2" t="str">
        <f>"4.3.0.00.00- OUTRAS RECEITAS"</f>
        <v>4.3.0.00.00- OUTRAS RECEITAS</v>
      </c>
      <c r="B319" s="10">
        <v>762836.16</v>
      </c>
      <c r="C319" s="10">
        <v>160843.78</v>
      </c>
      <c r="D319" s="10">
        <v>923679.94</v>
      </c>
    </row>
    <row r="320" spans="1:4" x14ac:dyDescent="0.25">
      <c r="A320" s="2" t="str">
        <f>"4.3.1.00.00- OUTRAS RECEITAS"</f>
        <v>4.3.1.00.00- OUTRAS RECEITAS</v>
      </c>
      <c r="B320" s="10">
        <v>762836.16</v>
      </c>
      <c r="C320" s="10">
        <v>160843.78</v>
      </c>
      <c r="D320" s="10">
        <v>923679.94</v>
      </c>
    </row>
    <row r="321" spans="1:4" x14ac:dyDescent="0.25">
      <c r="A321" s="2" t="str">
        <f>"4.3.1.00.02- Doacoes"</f>
        <v>4.3.1.00.02- Doacoes</v>
      </c>
      <c r="B321" s="10">
        <v>19149</v>
      </c>
      <c r="C321" s="10">
        <v>35440</v>
      </c>
      <c r="D321" s="10">
        <v>54589</v>
      </c>
    </row>
    <row r="322" spans="1:4" x14ac:dyDescent="0.25">
      <c r="A322" s="2" t="str">
        <f>"4.3.1.00.04- Receitas Diversas"</f>
        <v>4.3.1.00.04- Receitas Diversas</v>
      </c>
      <c r="B322" s="10">
        <v>564561.42000000004</v>
      </c>
      <c r="C322" s="10">
        <v>103038.33</v>
      </c>
      <c r="D322" s="10">
        <v>667599.75</v>
      </c>
    </row>
    <row r="323" spans="1:4" x14ac:dyDescent="0.25">
      <c r="A323" s="2" t="str">
        <f>"4.3.1.00.07- Concessão de Abrigo de ônibus"</f>
        <v>4.3.1.00.07- Concessão de Abrigo de ônibus</v>
      </c>
      <c r="B323" s="10">
        <v>179125.74</v>
      </c>
      <c r="C323" s="10">
        <v>22365.45</v>
      </c>
      <c r="D323" s="10">
        <v>201491.19</v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ht="15.75" thickBot="1" x14ac:dyDescent="0.3">
      <c r="A348" s="4" t="str">
        <f>"APURACAO DE RESULTADOS"</f>
        <v>APURACAO DE RESULTADOS</v>
      </c>
      <c r="B348" s="5" t="str">
        <f>""</f>
        <v/>
      </c>
      <c r="C348" s="5" t="str">
        <f>""</f>
        <v/>
      </c>
      <c r="D348" s="5" t="str">
        <f>""</f>
        <v/>
      </c>
    </row>
    <row r="349" spans="1:4" x14ac:dyDescent="0.25">
      <c r="A349" t="s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"/>
  <sheetViews>
    <sheetView workbookViewId="0">
      <selection activeCell="D1" sqref="D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12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47686754.43</v>
      </c>
      <c r="C4" s="10">
        <v>1096533.51</v>
      </c>
      <c r="D4" s="10">
        <v>48783287.939999998</v>
      </c>
    </row>
    <row r="5" spans="1:4" x14ac:dyDescent="0.25">
      <c r="A5" s="2" t="str">
        <f>"1.1.0.00.00- ATIVO CIRCULANTE"</f>
        <v>1.1.0.00.00- ATIVO CIRCULANTE</v>
      </c>
      <c r="B5" s="10">
        <v>24488159.489999998</v>
      </c>
      <c r="C5" s="10">
        <v>1005791.4</v>
      </c>
      <c r="D5" s="10">
        <v>25493950.890000001</v>
      </c>
    </row>
    <row r="6" spans="1:4" x14ac:dyDescent="0.25">
      <c r="A6" s="2" t="str">
        <f>"1.1.1.00.00- DISPONIVEL"</f>
        <v>1.1.1.00.00- DISPONIVEL</v>
      </c>
      <c r="B6" s="10">
        <v>12567279.529999999</v>
      </c>
      <c r="C6" s="10">
        <v>996069.6</v>
      </c>
      <c r="D6" s="10">
        <v>13563349.130000001</v>
      </c>
    </row>
    <row r="7" spans="1:4" x14ac:dyDescent="0.25">
      <c r="A7" s="2" t="str">
        <f>"1.1.1.01.00- CAIXA GERAL"</f>
        <v>1.1.1.01.00- CAIXA GERAL</v>
      </c>
      <c r="B7" s="10">
        <v>1600</v>
      </c>
      <c r="C7" s="10">
        <v>-510</v>
      </c>
      <c r="D7" s="10">
        <v>1090</v>
      </c>
    </row>
    <row r="8" spans="1:4" x14ac:dyDescent="0.25">
      <c r="A8" s="2" t="str">
        <f>"1.1.1.01.04- Caixa - Georf"</f>
        <v>1.1.1.01.04- Caixa - Georf</v>
      </c>
      <c r="B8" s="10">
        <v>520</v>
      </c>
      <c r="C8" s="10">
        <v>-520</v>
      </c>
      <c r="D8" s="10">
        <v>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600</v>
      </c>
      <c r="C10" s="10">
        <v>10</v>
      </c>
      <c r="D10" s="10">
        <v>610</v>
      </c>
    </row>
    <row r="11" spans="1:4" x14ac:dyDescent="0.25">
      <c r="A11" s="2" t="str">
        <f>"1.1.1.02.00- BANCOS C/MOVIMENTO"</f>
        <v>1.1.1.02.00- BANCOS C/MOVIMENTO</v>
      </c>
      <c r="B11" s="10">
        <v>329520.15999999997</v>
      </c>
      <c r="C11" s="10">
        <v>630.52</v>
      </c>
      <c r="D11" s="10">
        <v>330150.68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2240.86</v>
      </c>
      <c r="C12" s="10">
        <v>67.88</v>
      </c>
      <c r="D12" s="10">
        <v>2308.7399999999998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50648.93</v>
      </c>
      <c r="C13" s="10">
        <v>51947.55</v>
      </c>
      <c r="D13" s="10">
        <v>102596.48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21001.39</v>
      </c>
      <c r="C14" s="10">
        <v>-21001.39</v>
      </c>
      <c r="D14" s="10">
        <v>0</v>
      </c>
    </row>
    <row r="15" spans="1:4" x14ac:dyDescent="0.25">
      <c r="A15" s="2" t="str">
        <f>"1.1.1.02.32- Caixa Econômica Federal - 3292-3 Leilão"</f>
        <v>1.1.1.02.32- Caixa Econômica Federal - 3292-3 Leilão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1132.26</v>
      </c>
      <c r="C17" s="10">
        <v>-439.06</v>
      </c>
      <c r="D17" s="10">
        <v>693.2</v>
      </c>
    </row>
    <row r="18" spans="1:4" x14ac:dyDescent="0.25">
      <c r="A18" s="2" t="str">
        <f>"1.1.1.02.41- Caixa Econômica Federal - 3303-2Rotativo"</f>
        <v>1.1.1.02.41- Caixa Econômica Federal - 3303-2Rotativo</v>
      </c>
      <c r="B18" s="10">
        <v>189454.72</v>
      </c>
      <c r="C18" s="10">
        <v>34103.54</v>
      </c>
      <c r="D18" s="10">
        <v>223558.26</v>
      </c>
    </row>
    <row r="19" spans="1:4" x14ac:dyDescent="0.25">
      <c r="A19" s="2" t="str">
        <f>"1.1.1.02.42- Caixa Econômica Federal - 3304-0Caução"</f>
        <v>1.1.1.02.42- Caixa Econômica Federal - 3304-0Caução</v>
      </c>
      <c r="B19" s="10">
        <v>62640</v>
      </c>
      <c r="C19" s="10">
        <v>-62640</v>
      </c>
      <c r="D19" s="10">
        <v>0</v>
      </c>
    </row>
    <row r="20" spans="1:4" x14ac:dyDescent="0.25">
      <c r="A20" s="2" t="str">
        <f>"1.1.1.02.46- Caixa Econômica Federal - 3309-1 Rot int"</f>
        <v>1.1.1.02.46- Caixa Econômica Federal - 3309-1 Rot int</v>
      </c>
      <c r="B20" s="10">
        <v>2200</v>
      </c>
      <c r="C20" s="10">
        <v>-1408</v>
      </c>
      <c r="D20" s="10">
        <v>792</v>
      </c>
    </row>
    <row r="21" spans="1:4" x14ac:dyDescent="0.25">
      <c r="A21" s="2" t="str">
        <f>"1.1.1.02.51- Caixa Econômica Federal -3501-9Leillão17"</f>
        <v>1.1.1.02.51- Caixa Econômica Federal -3501-9Leillão17</v>
      </c>
      <c r="B21" s="10">
        <v>42</v>
      </c>
      <c r="C21" s="10">
        <v>0</v>
      </c>
      <c r="D21" s="10">
        <v>42</v>
      </c>
    </row>
    <row r="22" spans="1:4" x14ac:dyDescent="0.25">
      <c r="A22" s="2" t="str">
        <f>"1.1.1.03.00- APLICACOES FINANCEIRAS"</f>
        <v>1.1.1.03.00- APLICACOES FINANCEIRAS</v>
      </c>
      <c r="B22" s="10">
        <v>10401662.369999999</v>
      </c>
      <c r="C22" s="10">
        <v>1134211.6599999999</v>
      </c>
      <c r="D22" s="10">
        <v>11535874.029999999</v>
      </c>
    </row>
    <row r="23" spans="1:4" x14ac:dyDescent="0.25">
      <c r="A23" s="2" t="str">
        <f>"1.1.1.03.23- Caixa Econômica Federal - 3291-5"</f>
        <v>1.1.1.03.23- Caixa Econômica Federal - 3291-5</v>
      </c>
      <c r="B23" s="10">
        <v>9210388.5299999993</v>
      </c>
      <c r="C23" s="10">
        <v>1065896.79</v>
      </c>
      <c r="D23" s="10">
        <v>10276285.32</v>
      </c>
    </row>
    <row r="24" spans="1:4" x14ac:dyDescent="0.25">
      <c r="A24" s="2" t="str">
        <f>"1.1.1.03.25- Caixa Econômica Federal - 3292-3 Leilão"</f>
        <v>1.1.1.03.25- Caixa Econômica Federal - 3292-3 Leilão</v>
      </c>
      <c r="B24" s="10">
        <v>74423.740000000005</v>
      </c>
      <c r="C24" s="10">
        <v>397.04</v>
      </c>
      <c r="D24" s="10">
        <v>74820.78</v>
      </c>
    </row>
    <row r="25" spans="1:4" x14ac:dyDescent="0.25">
      <c r="A25" s="2" t="str">
        <f>"1.1.1.03.26- Caixa Econômica Federal - 3295-8Leilão13"</f>
        <v>1.1.1.03.26- Caixa Econômica Federal - 3295-8Leilão13</v>
      </c>
      <c r="B25" s="10">
        <v>203822.04</v>
      </c>
      <c r="C25" s="10">
        <v>1087.3599999999999</v>
      </c>
      <c r="D25" s="10">
        <v>204909.4</v>
      </c>
    </row>
    <row r="26" spans="1:4" x14ac:dyDescent="0.25">
      <c r="A26" s="2" t="str">
        <f>"1.1.1.03.29- Caixa Econômica Federal - 3298-2Leilão15"</f>
        <v>1.1.1.03.29- Caixa Econômica Federal - 3298-2Leilão15</v>
      </c>
      <c r="B26" s="10">
        <v>101506.14</v>
      </c>
      <c r="C26" s="10">
        <v>457.82</v>
      </c>
      <c r="D26" s="10">
        <v>101963.96</v>
      </c>
    </row>
    <row r="27" spans="1:4" x14ac:dyDescent="0.25">
      <c r="A27" s="2" t="str">
        <f>"1.1.1.03.30- Caixa Econômica Federal - 3299-0Leilão16"</f>
        <v>1.1.1.03.30- Caixa Econômica Federal - 3299-0Leilão16</v>
      </c>
      <c r="B27" s="10">
        <v>128203.57</v>
      </c>
      <c r="C27" s="10">
        <v>683.95</v>
      </c>
      <c r="D27" s="10">
        <v>128887.52</v>
      </c>
    </row>
    <row r="28" spans="1:4" x14ac:dyDescent="0.25">
      <c r="A28" s="2" t="str">
        <f>"1.1.1.03.31- Caixa Econômica Federal - 3300-8Leilão16"</f>
        <v>1.1.1.03.31- Caixa Econômica Federal - 3300-8Leilão16</v>
      </c>
      <c r="B28" s="10">
        <v>45861.94</v>
      </c>
      <c r="C28" s="10">
        <v>206.85</v>
      </c>
      <c r="D28" s="10">
        <v>46068.79</v>
      </c>
    </row>
    <row r="29" spans="1:4" x14ac:dyDescent="0.25">
      <c r="A29" s="2" t="str">
        <f>"1.1.1.03.32- Caixa Econômica - 3301-6 Mídia"</f>
        <v>1.1.1.03.32- Caixa Econômica - 3301-6 Mídia</v>
      </c>
      <c r="B29" s="10">
        <v>84477.41</v>
      </c>
      <c r="C29" s="10">
        <v>776.9</v>
      </c>
      <c r="D29" s="10">
        <v>85254.31</v>
      </c>
    </row>
    <row r="30" spans="1:4" x14ac:dyDescent="0.25">
      <c r="A30" s="2" t="str">
        <f>"1.1.1.03.35- Caixa Econômica - 3304-0Caução"</f>
        <v>1.1.1.03.35- Caixa Econômica - 3304-0Caução</v>
      </c>
      <c r="B30" s="10">
        <v>154386.25</v>
      </c>
      <c r="C30" s="10">
        <v>63541.36</v>
      </c>
      <c r="D30" s="10">
        <v>217927.61</v>
      </c>
    </row>
    <row r="31" spans="1:4" x14ac:dyDescent="0.25">
      <c r="A31" s="2" t="str">
        <f>"1.1.1.03.36- Caixa Econômica - 3305-9Sucumb."</f>
        <v>1.1.1.03.36- Caixa Econômica - 3305-9Sucumb.</v>
      </c>
      <c r="B31" s="10">
        <v>9503.89</v>
      </c>
      <c r="C31" s="10">
        <v>40.65</v>
      </c>
      <c r="D31" s="10">
        <v>9544.5400000000009</v>
      </c>
    </row>
    <row r="32" spans="1:4" x14ac:dyDescent="0.25">
      <c r="A32" s="2" t="str">
        <f>"1.1.1.03.38- Caixa Econômica - 3308-3Leilão"</f>
        <v>1.1.1.03.38- Caixa Econômica - 3308-3Leilão</v>
      </c>
      <c r="B32" s="10">
        <v>2190.8200000000002</v>
      </c>
      <c r="C32" s="10">
        <v>9.3699999999999992</v>
      </c>
      <c r="D32" s="10">
        <v>2200.19</v>
      </c>
    </row>
    <row r="33" spans="1:4" x14ac:dyDescent="0.25">
      <c r="A33" s="2" t="str">
        <f>"1.1.1.03.41- Caixa Econômica - 531-0 Aci moto poupanç"</f>
        <v>1.1.1.03.41- Caixa Econômica - 531-0 Aci moto poupanç</v>
      </c>
      <c r="B33" s="10">
        <v>603.28</v>
      </c>
      <c r="C33" s="10">
        <v>0.02</v>
      </c>
      <c r="D33" s="10">
        <v>603.29999999999995</v>
      </c>
    </row>
    <row r="34" spans="1:4" x14ac:dyDescent="0.25">
      <c r="A34" s="2" t="str">
        <f>"1.1.1.03.42- Caixa Econômica - 532-9 Acid Ped Poupanç"</f>
        <v>1.1.1.03.42- Caixa Econômica - 532-9 Acid Ped Poupanç</v>
      </c>
      <c r="B34" s="10">
        <v>86997.05</v>
      </c>
      <c r="C34" s="10">
        <v>0</v>
      </c>
      <c r="D34" s="10">
        <v>86997.05</v>
      </c>
    </row>
    <row r="35" spans="1:4" x14ac:dyDescent="0.25">
      <c r="A35" s="2" t="str">
        <f>"1.1.1.03.43- Caixa Econômica - 534-5 Codemig Poupança"</f>
        <v>1.1.1.03.43- Caixa Econômica - 534-5 Codemig Poupança</v>
      </c>
      <c r="B35" s="10">
        <v>26176.38</v>
      </c>
      <c r="C35" s="10">
        <v>0</v>
      </c>
      <c r="D35" s="10">
        <v>26176.38</v>
      </c>
    </row>
    <row r="36" spans="1:4" x14ac:dyDescent="0.25">
      <c r="A36" s="2" t="str">
        <f>"1.1.1.03.44- Caixa Econômica - 535-3 Turblog Poupança"</f>
        <v>1.1.1.03.44- Caixa Econômica - 535-3 Turblog Poupança</v>
      </c>
      <c r="B36" s="10">
        <v>64391.23</v>
      </c>
      <c r="C36" s="10">
        <v>0</v>
      </c>
      <c r="D36" s="10">
        <v>64391.23</v>
      </c>
    </row>
    <row r="37" spans="1:4" x14ac:dyDescent="0.25">
      <c r="A37" s="2" t="str">
        <f>"1.1.1.03.45- Caixa Econômica Federal - 3393-8Leilão17"</f>
        <v>1.1.1.03.45- Caixa Econômica Federal - 3393-8Leilão17</v>
      </c>
      <c r="B37" s="10">
        <v>113755.8</v>
      </c>
      <c r="C37" s="10">
        <v>606.87</v>
      </c>
      <c r="D37" s="10">
        <v>114362.67</v>
      </c>
    </row>
    <row r="38" spans="1:4" x14ac:dyDescent="0.25">
      <c r="A38" s="2" t="str">
        <f>"1.1.1.03.46- Caixa Econômica Federal -3501-9Leillão17"</f>
        <v>1.1.1.03.46- Caixa Econômica Federal -3501-9Leillão17</v>
      </c>
      <c r="B38" s="10">
        <v>94974.3</v>
      </c>
      <c r="C38" s="10">
        <v>506.68</v>
      </c>
      <c r="D38" s="10">
        <v>95480.98</v>
      </c>
    </row>
    <row r="39" spans="1:4" x14ac:dyDescent="0.25">
      <c r="A39" s="2" t="str">
        <f>"1.1.1.04.00- BANCOS C/VINCULADA-PAMEH"</f>
        <v>1.1.1.04.00- BANCOS C/VINCULADA-PAMEH</v>
      </c>
      <c r="B39" s="10">
        <v>1834497</v>
      </c>
      <c r="C39" s="10">
        <v>-138262.57999999999</v>
      </c>
      <c r="D39" s="10">
        <v>1696234.42</v>
      </c>
    </row>
    <row r="40" spans="1:4" x14ac:dyDescent="0.25">
      <c r="A40" s="2" t="str">
        <f>"1.1.1.04.07- Caixa Econômica Federal - 3294-0"</f>
        <v>1.1.1.04.07- Caixa Econômica Federal - 3294-0</v>
      </c>
      <c r="B40" s="10">
        <v>0</v>
      </c>
      <c r="C40" s="10">
        <v>2678.03</v>
      </c>
      <c r="D40" s="10">
        <v>2678.03</v>
      </c>
    </row>
    <row r="41" spans="1:4" x14ac:dyDescent="0.25">
      <c r="A41" s="2" t="str">
        <f>"1.1.1.04.08- Caixa Econômica Federal - 3294-0 Aplic."</f>
        <v>1.1.1.04.08- Caixa Econômica Federal - 3294-0 Aplic.</v>
      </c>
      <c r="B41" s="10">
        <v>1834497</v>
      </c>
      <c r="C41" s="10">
        <v>-140940.60999999999</v>
      </c>
      <c r="D41" s="10">
        <v>1693556.39</v>
      </c>
    </row>
    <row r="42" spans="1:4" x14ac:dyDescent="0.25">
      <c r="A42" s="2" t="str">
        <f>"1.1.2.00.00- REALIZAVEL A CURTO PRAZO"</f>
        <v>1.1.2.00.00- REALIZAVEL A CURTO PRAZO</v>
      </c>
      <c r="B42" s="10">
        <v>11920879.960000001</v>
      </c>
      <c r="C42" s="10">
        <v>9721.7999999999993</v>
      </c>
      <c r="D42" s="10">
        <v>11930601.76</v>
      </c>
    </row>
    <row r="43" spans="1:4" x14ac:dyDescent="0.25">
      <c r="A43" s="2" t="str">
        <f>"1.1.2.01.00- CONTAS A RECEBER"</f>
        <v>1.1.2.01.00- CONTAS A RECEBER</v>
      </c>
      <c r="B43" s="10">
        <v>6001399.3200000003</v>
      </c>
      <c r="C43" s="10">
        <v>360020.06</v>
      </c>
      <c r="D43" s="10">
        <v>6361419.3799999999</v>
      </c>
    </row>
    <row r="44" spans="1:4" x14ac:dyDescent="0.25">
      <c r="A44" s="2" t="str">
        <f>"1.1.2.01.89- Multas Transporte Coletivo"</f>
        <v>1.1.2.01.89- Multas Transporte Coletivo</v>
      </c>
      <c r="B44" s="10">
        <v>7319589.5499999998</v>
      </c>
      <c r="C44" s="10">
        <v>439536.35</v>
      </c>
      <c r="D44" s="10">
        <v>7759125.9000000004</v>
      </c>
    </row>
    <row r="45" spans="1:4" x14ac:dyDescent="0.25">
      <c r="A45" s="2" t="str">
        <f>"1.1.2.01.93- Estacionamento Rotativo a Receber"</f>
        <v>1.1.2.01.93- Estacionamento Rotativo a Receber</v>
      </c>
      <c r="B45" s="10">
        <v>0</v>
      </c>
      <c r="C45" s="10">
        <v>4364.2</v>
      </c>
      <c r="D45" s="10">
        <v>4364.2</v>
      </c>
    </row>
    <row r="46" spans="1:4" x14ac:dyDescent="0.25">
      <c r="A46" s="2" t="str">
        <f>"1.1.2.01.94- Midia Onibus a Receber"</f>
        <v>1.1.2.01.94- Midia Onibus a Receber</v>
      </c>
      <c r="B46" s="10">
        <v>253567.34</v>
      </c>
      <c r="C46" s="10">
        <v>0</v>
      </c>
      <c r="D46" s="10">
        <v>253567.34</v>
      </c>
    </row>
    <row r="47" spans="1:4" x14ac:dyDescent="0.25">
      <c r="A47" s="2" t="str">
        <f>"1.1.2.01.98- Outras contas a receber"</f>
        <v>1.1.2.01.98- Outras contas a receber</v>
      </c>
      <c r="B47" s="10">
        <v>41849.19</v>
      </c>
      <c r="C47" s="10">
        <v>4026.78</v>
      </c>
      <c r="D47" s="10">
        <v>45875.97</v>
      </c>
    </row>
    <row r="48" spans="1:4" x14ac:dyDescent="0.25">
      <c r="A48" s="2" t="str">
        <f>"1.1.2.01.99- (-) Provisao para Perdas"</f>
        <v>1.1.2.01.99- (-) Provisao para Perdas</v>
      </c>
      <c r="B48" s="10">
        <v>-1613606.76</v>
      </c>
      <c r="C48" s="10">
        <v>-87907.27</v>
      </c>
      <c r="D48" s="10">
        <v>-1701514.03</v>
      </c>
    </row>
    <row r="49" spans="1:4" x14ac:dyDescent="0.25">
      <c r="A49" s="2" t="str">
        <f>"1.1.2.04.00- CONVÊNIOS A RECEBER"</f>
        <v>1.1.2.04.00- CONVÊNIOS A RECEBER</v>
      </c>
      <c r="B49" s="10">
        <v>3488.63</v>
      </c>
      <c r="C49" s="10">
        <v>-3488.63</v>
      </c>
      <c r="D49" s="10">
        <v>0</v>
      </c>
    </row>
    <row r="50" spans="1:4" x14ac:dyDescent="0.25">
      <c r="A50" s="2" t="str">
        <f>"1.1.2.04.99- Convenios cedidos a receber"</f>
        <v>1.1.2.04.99- Convenios cedidos a receber</v>
      </c>
      <c r="B50" s="10">
        <v>3488.63</v>
      </c>
      <c r="C50" s="10">
        <v>-3488.63</v>
      </c>
      <c r="D50" s="10">
        <v>0</v>
      </c>
    </row>
    <row r="51" spans="1:4" x14ac:dyDescent="0.25">
      <c r="A51" s="2" t="str">
        <f>"1.1.2.06.00- ADIANTAMENTO A EMPREGADOS"</f>
        <v>1.1.2.06.00- ADIANTAMENTO A EMPREGADOS</v>
      </c>
      <c r="B51" s="10">
        <v>3691532.86</v>
      </c>
      <c r="C51" s="10">
        <v>-149220.91</v>
      </c>
      <c r="D51" s="10">
        <v>3542311.95</v>
      </c>
    </row>
    <row r="52" spans="1:4" x14ac:dyDescent="0.25">
      <c r="A52" s="2" t="str">
        <f>"1.1.2.06.01- Adiantamento de Ferias"</f>
        <v>1.1.2.06.01- Adiantamento de Ferias</v>
      </c>
      <c r="B52" s="10">
        <v>811812.83</v>
      </c>
      <c r="C52" s="10">
        <v>-168181.44</v>
      </c>
      <c r="D52" s="10">
        <v>643631.39</v>
      </c>
    </row>
    <row r="53" spans="1:4" x14ac:dyDescent="0.25">
      <c r="A53" s="2" t="str">
        <f>"1.1.2.06.02- Adiantamento de 13. Salario"</f>
        <v>1.1.2.06.02- Adiantamento de 13. Salario</v>
      </c>
      <c r="B53" s="10">
        <v>2561750.9300000002</v>
      </c>
      <c r="C53" s="10">
        <v>-6425.53</v>
      </c>
      <c r="D53" s="10">
        <v>2555325.4</v>
      </c>
    </row>
    <row r="54" spans="1:4" x14ac:dyDescent="0.25">
      <c r="A54" s="2" t="str">
        <f>"1.1.2.06.03- Adiant. de Salario/Parc. Ferias"</f>
        <v>1.1.2.06.03- Adiant. de Salario/Parc. Ferias</v>
      </c>
      <c r="B54" s="10">
        <v>149384.76999999999</v>
      </c>
      <c r="C54" s="10">
        <v>26571.7</v>
      </c>
      <c r="D54" s="10">
        <v>175956.47</v>
      </c>
    </row>
    <row r="55" spans="1:4" x14ac:dyDescent="0.25">
      <c r="A55" s="2" t="str">
        <f>"1.1.2.06.07- Adiantamento Pensao s/ Ferias"</f>
        <v>1.1.2.06.07- Adiantamento Pensao s/ Ferias</v>
      </c>
      <c r="B55" s="10">
        <v>168584.33</v>
      </c>
      <c r="C55" s="10">
        <v>-1185.6400000000001</v>
      </c>
      <c r="D55" s="10">
        <v>167398.69</v>
      </c>
    </row>
    <row r="56" spans="1:4" x14ac:dyDescent="0.25">
      <c r="A56" s="2" t="str">
        <f>"1.1.2.08.00- ALMOXARIFADO"</f>
        <v>1.1.2.08.00- ALMOXARIFADO</v>
      </c>
      <c r="B56" s="10">
        <v>365483.66</v>
      </c>
      <c r="C56" s="10">
        <v>3518.49</v>
      </c>
      <c r="D56" s="10">
        <v>369002.15</v>
      </c>
    </row>
    <row r="57" spans="1:4" x14ac:dyDescent="0.25">
      <c r="A57" s="2" t="str">
        <f>"1.1.2.08.01- Material em Estoque"</f>
        <v>1.1.2.08.01- Material em Estoque</v>
      </c>
      <c r="B57" s="10">
        <v>365483.66</v>
      </c>
      <c r="C57" s="10">
        <v>3518.49</v>
      </c>
      <c r="D57" s="10">
        <v>369002.15</v>
      </c>
    </row>
    <row r="58" spans="1:4" x14ac:dyDescent="0.25">
      <c r="A58" s="2" t="str">
        <f>"1.1.2.10.00- IMPOSTOS E CONTRIB.A RECUPERAR"</f>
        <v>1.1.2.10.00- IMPOSTOS E CONTRIB.A RECUPERAR</v>
      </c>
      <c r="B58" s="10">
        <v>615774.31000000006</v>
      </c>
      <c r="C58" s="10">
        <v>-62816.31</v>
      </c>
      <c r="D58" s="10">
        <v>552958</v>
      </c>
    </row>
    <row r="59" spans="1:4" x14ac:dyDescent="0.25">
      <c r="A59" s="2" t="str">
        <f>"1.1.2.10.01- IR s/Aplicacao Financeira"</f>
        <v>1.1.2.10.01- IR s/Aplicacao Financeira</v>
      </c>
      <c r="B59" s="10">
        <v>429686.13</v>
      </c>
      <c r="C59" s="10">
        <v>5837.23</v>
      </c>
      <c r="D59" s="10">
        <v>435523.36</v>
      </c>
    </row>
    <row r="60" spans="1:4" x14ac:dyDescent="0.25">
      <c r="A60" s="2" t="str">
        <f>"1.1.2.10.08- IRRF a Compensar"</f>
        <v>1.1.2.10.08- IRRF a Compensar</v>
      </c>
      <c r="B60" s="10">
        <v>1454.99</v>
      </c>
      <c r="C60" s="10">
        <v>0</v>
      </c>
      <c r="D60" s="10">
        <v>1454.99</v>
      </c>
    </row>
    <row r="61" spans="1:4" x14ac:dyDescent="0.25">
      <c r="A61" s="2" t="str">
        <f>"1.1.2.10.15- Cofins a Compensar"</f>
        <v>1.1.2.10.15- Cofins a Compensar</v>
      </c>
      <c r="B61" s="10">
        <v>56360.5</v>
      </c>
      <c r="C61" s="10">
        <v>-56360.44</v>
      </c>
      <c r="D61" s="10">
        <v>0.06</v>
      </c>
    </row>
    <row r="62" spans="1:4" x14ac:dyDescent="0.25">
      <c r="A62" s="2" t="str">
        <f>"1.1.2.10.16- PIS a Compensar"</f>
        <v>1.1.2.10.16- PIS a Compensar</v>
      </c>
      <c r="B62" s="10">
        <v>12353.84</v>
      </c>
      <c r="C62" s="10">
        <v>-12353.85</v>
      </c>
      <c r="D62" s="10">
        <v>-0.01</v>
      </c>
    </row>
    <row r="63" spans="1:4" x14ac:dyDescent="0.25">
      <c r="A63" s="2" t="str">
        <f>"1.1.2.10.20- V.M.A PIS a Recuperar"</f>
        <v>1.1.2.10.20- V.M.A PIS a Recuperar</v>
      </c>
      <c r="B63" s="10">
        <v>1593.58</v>
      </c>
      <c r="C63" s="10">
        <v>33.270000000000003</v>
      </c>
      <c r="D63" s="10">
        <v>1626.85</v>
      </c>
    </row>
    <row r="64" spans="1:4" x14ac:dyDescent="0.25">
      <c r="A64" s="2" t="str">
        <f>"1.1.2.10.21- V.M.A IRRF a Compensar"</f>
        <v>1.1.2.10.21- V.M.A IRRF a Compensar</v>
      </c>
      <c r="B64" s="10">
        <v>533.15</v>
      </c>
      <c r="C64" s="10">
        <v>8.2799999999999994</v>
      </c>
      <c r="D64" s="10">
        <v>541.42999999999995</v>
      </c>
    </row>
    <row r="65" spans="1:4" x14ac:dyDescent="0.25">
      <c r="A65" s="2" t="str">
        <f>"1.1.2.10.22- V.M.A COFINS a Compensar"</f>
        <v>1.1.2.10.22- V.M.A COFINS a Compensar</v>
      </c>
      <c r="B65" s="10">
        <v>5528.35</v>
      </c>
      <c r="C65" s="10">
        <v>19.2</v>
      </c>
      <c r="D65" s="10">
        <v>5547.55</v>
      </c>
    </row>
    <row r="66" spans="1:4" x14ac:dyDescent="0.25">
      <c r="A66" s="2" t="str">
        <f>"1.1.2.10.25- INSS a recuperar segurados"</f>
        <v>1.1.2.10.25- INSS a recuperar segurados</v>
      </c>
      <c r="B66" s="10">
        <v>108263.77</v>
      </c>
      <c r="C66" s="10">
        <v>0</v>
      </c>
      <c r="D66" s="10">
        <v>108263.77</v>
      </c>
    </row>
    <row r="67" spans="1:4" x14ac:dyDescent="0.25">
      <c r="A67" s="2" t="str">
        <f>"1.1.2.11.00- DESPESAS ANTECIPADAS"</f>
        <v>1.1.2.11.00- DESPESAS ANTECIPADAS</v>
      </c>
      <c r="B67" s="10">
        <v>3346.51</v>
      </c>
      <c r="C67" s="10">
        <v>-498.64</v>
      </c>
      <c r="D67" s="10">
        <v>2847.87</v>
      </c>
    </row>
    <row r="68" spans="1:4" x14ac:dyDescent="0.25">
      <c r="A68" s="2" t="str">
        <f>"1.1.2.11.01- Premios de Seguros a Vencer"</f>
        <v>1.1.2.11.01- Premios de Seguros a Vencer</v>
      </c>
      <c r="B68" s="10">
        <v>3346.51</v>
      </c>
      <c r="C68" s="10">
        <v>-498.64</v>
      </c>
      <c r="D68" s="10">
        <v>2847.87</v>
      </c>
    </row>
    <row r="69" spans="1:4" x14ac:dyDescent="0.25">
      <c r="A69" s="2" t="str">
        <f>"1.1.2.12.00- VALORES VINC.A RECEBER-PAMEH"</f>
        <v>1.1.2.12.00- VALORES VINC.A RECEBER-PAMEH</v>
      </c>
      <c r="B69" s="10">
        <v>766333.49</v>
      </c>
      <c r="C69" s="10">
        <v>930.85</v>
      </c>
      <c r="D69" s="10">
        <v>767264.34</v>
      </c>
    </row>
    <row r="70" spans="1:4" x14ac:dyDescent="0.25">
      <c r="A70" s="2" t="str">
        <f>"1.1.2.12.01- Valores Vinculados-PAMEH"</f>
        <v>1.1.2.12.01- Valores Vinculados-PAMEH</v>
      </c>
      <c r="B70" s="10">
        <v>766333.49</v>
      </c>
      <c r="C70" s="10">
        <v>930.85</v>
      </c>
      <c r="D70" s="10">
        <v>767264.34</v>
      </c>
    </row>
    <row r="71" spans="1:4" x14ac:dyDescent="0.25">
      <c r="A71" s="2" t="str">
        <f>"1.1.2.14.00- CONTAS TRANSITORIAS - GRUPO ATIVO"</f>
        <v>1.1.2.14.00- CONTAS TRANSITORIAS - GRUPO ATIVO</v>
      </c>
      <c r="B71" s="10">
        <v>346869.84</v>
      </c>
      <c r="C71" s="10">
        <v>-116398.49</v>
      </c>
      <c r="D71" s="10">
        <v>230471.35</v>
      </c>
    </row>
    <row r="72" spans="1:4" x14ac:dyDescent="0.25">
      <c r="A72" s="2" t="str">
        <f>"1.1.2.14.05- Transitoria Folha de Pagamento"</f>
        <v>1.1.2.14.05- Transitoria Folha de Pagamento</v>
      </c>
      <c r="B72" s="10">
        <v>346869.84</v>
      </c>
      <c r="C72" s="10">
        <v>-116398.49</v>
      </c>
      <c r="D72" s="10">
        <v>230471.35</v>
      </c>
    </row>
    <row r="73" spans="1:4" x14ac:dyDescent="0.25">
      <c r="A73" s="2" t="str">
        <f>"1.1.2.15.00- CARNE ESTACIONAMENTO ROTATIVO"</f>
        <v>1.1.2.15.00- CARNE ESTACIONAMENTO ROTATIVO</v>
      </c>
      <c r="B73" s="10">
        <v>126651.34</v>
      </c>
      <c r="C73" s="10">
        <v>-22324.62</v>
      </c>
      <c r="D73" s="10">
        <v>104326.72</v>
      </c>
    </row>
    <row r="74" spans="1:4" x14ac:dyDescent="0.25">
      <c r="A74" s="2" t="str">
        <f>"1.1.2.15.01- Carne Rotativo"</f>
        <v>1.1.2.15.01- Carne Rotativo</v>
      </c>
      <c r="B74" s="10">
        <v>126651.34</v>
      </c>
      <c r="C74" s="10">
        <v>-22324.62</v>
      </c>
      <c r="D74" s="10">
        <v>104326.72</v>
      </c>
    </row>
    <row r="75" spans="1:4" x14ac:dyDescent="0.25">
      <c r="A75" s="2" t="str">
        <f>"1.2.0.00.00- ATIVO NAO CIRCULANTE"</f>
        <v>1.2.0.00.00- ATIVO NAO CIRCULANTE</v>
      </c>
      <c r="B75" s="10">
        <v>23198594.940000001</v>
      </c>
      <c r="C75" s="10">
        <v>90742.11</v>
      </c>
      <c r="D75" s="10">
        <v>23289337.050000001</v>
      </c>
    </row>
    <row r="76" spans="1:4" x14ac:dyDescent="0.25">
      <c r="A76" s="2" t="str">
        <f>"1.2.1.00.00- REALIZAVEL A LONGO PRAZO"</f>
        <v>1.2.1.00.00- REALIZAVEL A LONGO PRAZO</v>
      </c>
      <c r="B76" s="10">
        <v>21221871.870000001</v>
      </c>
      <c r="C76" s="10">
        <v>111718.94</v>
      </c>
      <c r="D76" s="10">
        <v>21333590.809999999</v>
      </c>
    </row>
    <row r="77" spans="1:4" x14ac:dyDescent="0.25">
      <c r="A77" s="2" t="str">
        <f>"1.2.1.01.00- CREDITOS E VALORES A RECEBER"</f>
        <v>1.2.1.01.00- CREDITOS E VALORES A RECEBER</v>
      </c>
      <c r="B77" s="10">
        <v>21221871.870000001</v>
      </c>
      <c r="C77" s="10">
        <v>111718.94</v>
      </c>
      <c r="D77" s="10">
        <v>21333590.809999999</v>
      </c>
    </row>
    <row r="78" spans="1:4" x14ac:dyDescent="0.25">
      <c r="A78" s="2" t="str">
        <f>"1.2.1.01.01- Depositos Judiciais"</f>
        <v>1.2.1.01.01- Depositos Judiciais</v>
      </c>
      <c r="B78" s="10">
        <v>8706416.8900000006</v>
      </c>
      <c r="C78" s="10">
        <v>111718.94</v>
      </c>
      <c r="D78" s="10">
        <v>8818135.8300000001</v>
      </c>
    </row>
    <row r="79" spans="1:4" x14ac:dyDescent="0.25">
      <c r="A79" s="2" t="str">
        <f>"1.2.1.01.03- Depositos Judiciais de Terceiros"</f>
        <v>1.2.1.01.03- Depositos Judiciais de Terceiros</v>
      </c>
      <c r="B79" s="10">
        <v>925087.39</v>
      </c>
      <c r="C79" s="10">
        <v>0</v>
      </c>
      <c r="D79" s="10">
        <v>925087.39</v>
      </c>
    </row>
    <row r="80" spans="1:4" x14ac:dyDescent="0.25">
      <c r="A80" s="2" t="str">
        <f>"1.2.1.01.04- Convenio Prefeitura Betim"</f>
        <v>1.2.1.01.04- Convenio Prefeitura Betim</v>
      </c>
      <c r="B80" s="10">
        <v>891.18</v>
      </c>
      <c r="C80" s="10">
        <v>0</v>
      </c>
      <c r="D80" s="10">
        <v>891.18</v>
      </c>
    </row>
    <row r="81" spans="1:4" x14ac:dyDescent="0.25">
      <c r="A81" s="2" t="str">
        <f>"1.2.1.01.05- Convenio IPSEMG"</f>
        <v>1.2.1.01.05- Convenio IPSEMG</v>
      </c>
      <c r="B81" s="10">
        <v>21163.53</v>
      </c>
      <c r="C81" s="10">
        <v>0</v>
      </c>
      <c r="D81" s="10">
        <v>21163.53</v>
      </c>
    </row>
    <row r="82" spans="1:4" x14ac:dyDescent="0.25">
      <c r="A82" s="2" t="str">
        <f>"1.2.1.01.06- Multas Transporte Coletivo"</f>
        <v>1.2.1.01.06- Multas Transporte Coletivo</v>
      </c>
      <c r="B82" s="10">
        <v>12853680.960000001</v>
      </c>
      <c r="C82" s="10">
        <v>0</v>
      </c>
      <c r="D82" s="10">
        <v>12853680.960000001</v>
      </c>
    </row>
    <row r="83" spans="1:4" x14ac:dyDescent="0.25">
      <c r="A83" s="2" t="str">
        <f>"1.2.1.01.07- (-) Provisao para Perdas"</f>
        <v>1.2.1.01.07- (-) Provisao para Perdas</v>
      </c>
      <c r="B83" s="10">
        <v>-1285368.08</v>
      </c>
      <c r="C83" s="10">
        <v>0</v>
      </c>
      <c r="D83" s="10">
        <v>-1285368.08</v>
      </c>
    </row>
    <row r="84" spans="1:4" x14ac:dyDescent="0.25">
      <c r="A84" s="2" t="str">
        <f>"1.3.1.00.00- INVESTIMENTOS"</f>
        <v>1.3.1.00.00- INVESTIMENTOS</v>
      </c>
      <c r="B84" s="10">
        <v>26070</v>
      </c>
      <c r="C84" s="10">
        <v>0</v>
      </c>
      <c r="D84" s="10">
        <v>26070</v>
      </c>
    </row>
    <row r="85" spans="1:4" x14ac:dyDescent="0.25">
      <c r="A85" s="2" t="str">
        <f>"1.3.1.01.00- OUTROS INVESTIMENTOS"</f>
        <v>1.3.1.01.00- OUTROS INVESTIMENTOS</v>
      </c>
      <c r="B85" s="10">
        <v>26070</v>
      </c>
      <c r="C85" s="10">
        <v>0</v>
      </c>
      <c r="D85" s="10">
        <v>26070</v>
      </c>
    </row>
    <row r="86" spans="1:4" x14ac:dyDescent="0.25">
      <c r="A86" s="2" t="str">
        <f>"1.3.1.01.01- Obras de Arte"</f>
        <v>1.3.1.01.01- Obras de Arte</v>
      </c>
      <c r="B86" s="10">
        <v>25200</v>
      </c>
      <c r="C86" s="10">
        <v>0</v>
      </c>
      <c r="D86" s="10">
        <v>25200</v>
      </c>
    </row>
    <row r="87" spans="1:4" x14ac:dyDescent="0.25">
      <c r="A87" s="2" t="str">
        <f>"1.3.1.01.02- Participações Societárias - PBH ATIVOS"</f>
        <v>1.3.1.01.02- Participações Societárias - PBH ATIVOS</v>
      </c>
      <c r="B87" s="10">
        <v>870</v>
      </c>
      <c r="C87" s="10">
        <v>0</v>
      </c>
      <c r="D87" s="10">
        <v>870</v>
      </c>
    </row>
    <row r="88" spans="1:4" x14ac:dyDescent="0.25">
      <c r="A88" s="2" t="str">
        <f>"1.3.2.00.00- IMOBILIZADO"</f>
        <v>1.3.2.00.00- IMOBILIZADO</v>
      </c>
      <c r="B88" s="10">
        <v>7772920.4299999997</v>
      </c>
      <c r="C88" s="10">
        <v>0</v>
      </c>
      <c r="D88" s="10">
        <v>7772920.4299999997</v>
      </c>
    </row>
    <row r="89" spans="1:4" x14ac:dyDescent="0.25">
      <c r="A89" s="2" t="str">
        <f>"1.3.2.01.01- Maquinas e equipamentos"</f>
        <v>1.3.2.01.01- Maquinas e equipamentos</v>
      </c>
      <c r="B89" s="10">
        <v>243172.08</v>
      </c>
      <c r="C89" s="10">
        <v>0</v>
      </c>
      <c r="D89" s="10">
        <v>243172.08</v>
      </c>
    </row>
    <row r="90" spans="1:4" x14ac:dyDescent="0.25">
      <c r="A90" s="2" t="str">
        <f>"1.3.2.02.01- Ferramentas"</f>
        <v>1.3.2.02.01- Ferramentas</v>
      </c>
      <c r="B90" s="10">
        <v>9104.81</v>
      </c>
      <c r="C90" s="10">
        <v>0</v>
      </c>
      <c r="D90" s="10">
        <v>9104.81</v>
      </c>
    </row>
    <row r="91" spans="1:4" x14ac:dyDescent="0.25">
      <c r="A91" s="2" t="str">
        <f>"1.3.2.03.01- Equipamentos de comunicacao"</f>
        <v>1.3.2.03.01- Equipamentos de comunicacao</v>
      </c>
      <c r="B91" s="10">
        <v>172167.01</v>
      </c>
      <c r="C91" s="10">
        <v>0</v>
      </c>
      <c r="D91" s="10">
        <v>172167.01</v>
      </c>
    </row>
    <row r="92" spans="1:4" x14ac:dyDescent="0.25">
      <c r="A92" s="2" t="str">
        <f>"1.3.2.04.01- Instalacoes"</f>
        <v>1.3.2.04.01- Instalacoes</v>
      </c>
      <c r="B92" s="10">
        <v>85222.9</v>
      </c>
      <c r="C92" s="10">
        <v>0</v>
      </c>
      <c r="D92" s="10">
        <v>85222.9</v>
      </c>
    </row>
    <row r="93" spans="1:4" x14ac:dyDescent="0.25">
      <c r="A93" s="2" t="str">
        <f>"1.3.2.06.01- Moveis e utensilios"</f>
        <v>1.3.2.06.01- Moveis e utensilios</v>
      </c>
      <c r="B93" s="10">
        <v>541731.43999999994</v>
      </c>
      <c r="C93" s="10">
        <v>0</v>
      </c>
      <c r="D93" s="10">
        <v>541731.43999999994</v>
      </c>
    </row>
    <row r="94" spans="1:4" x14ac:dyDescent="0.25">
      <c r="A94" s="2" t="str">
        <f>"1.3.2.08.01- Instalacoes administrativas"</f>
        <v>1.3.2.08.01- Instalacoes administrativas</v>
      </c>
      <c r="B94" s="10">
        <v>99146.34</v>
      </c>
      <c r="C94" s="10">
        <v>0</v>
      </c>
      <c r="D94" s="10">
        <v>99146.34</v>
      </c>
    </row>
    <row r="95" spans="1:4" x14ac:dyDescent="0.25">
      <c r="A95" s="2" t="str">
        <f>"1.3.2.09.01- Aparelhos/equipamentos diversos"</f>
        <v>1.3.2.09.01- Aparelhos/equipamentos diversos</v>
      </c>
      <c r="B95" s="10">
        <v>653084.13</v>
      </c>
      <c r="C95" s="10">
        <v>0</v>
      </c>
      <c r="D95" s="10">
        <v>653084.13</v>
      </c>
    </row>
    <row r="96" spans="1:4" x14ac:dyDescent="0.25">
      <c r="A96" s="2" t="str">
        <f>"1.3.2.10.01- Equip. p/ processamento de dados"</f>
        <v>1.3.2.10.01- Equip. p/ processamento de dados</v>
      </c>
      <c r="B96" s="10">
        <v>1550246.6</v>
      </c>
      <c r="C96" s="10">
        <v>0</v>
      </c>
      <c r="D96" s="10">
        <v>1550246.6</v>
      </c>
    </row>
    <row r="97" spans="1:4" x14ac:dyDescent="0.25">
      <c r="A97" s="2" t="str">
        <f>"1.3.2.12.01- Micros/impressoras e acessorios"</f>
        <v>1.3.2.12.01- Micros/impressoras e acessorios</v>
      </c>
      <c r="B97" s="10">
        <v>2745120.68</v>
      </c>
      <c r="C97" s="10">
        <v>0</v>
      </c>
      <c r="D97" s="10">
        <v>2745120.68</v>
      </c>
    </row>
    <row r="98" spans="1:4" x14ac:dyDescent="0.25">
      <c r="A98" s="2" t="str">
        <f>"1.3.2.13.01- Imobilizacao em imoveis de terceiros"</f>
        <v>1.3.2.13.01- Imobilizacao em imoveis de terceiros</v>
      </c>
      <c r="B98" s="10">
        <v>511539.98</v>
      </c>
      <c r="C98" s="10">
        <v>0</v>
      </c>
      <c r="D98" s="10">
        <v>511539.98</v>
      </c>
    </row>
    <row r="99" spans="1:4" x14ac:dyDescent="0.25">
      <c r="A99" s="2" t="str">
        <f>"1.3.2.14.01- Estacao Diamante"</f>
        <v>1.3.2.14.01- Estacao Diamante</v>
      </c>
      <c r="B99" s="10">
        <v>1162384.46</v>
      </c>
      <c r="C99" s="10">
        <v>0</v>
      </c>
      <c r="D99" s="10">
        <v>1162384.46</v>
      </c>
    </row>
    <row r="100" spans="1:4" x14ac:dyDescent="0.25">
      <c r="A100" s="2" t="str">
        <f>"1.3.3.00.00- INTANGIVEL"</f>
        <v>1.3.3.00.00- INTANGIVEL</v>
      </c>
      <c r="B100" s="10">
        <v>37558</v>
      </c>
      <c r="C100" s="10">
        <v>0</v>
      </c>
      <c r="D100" s="10">
        <v>37558</v>
      </c>
    </row>
    <row r="101" spans="1:4" x14ac:dyDescent="0.25">
      <c r="A101" s="2" t="str">
        <f>"1.3.3.03.00- MARCAS E PATENTES"</f>
        <v>1.3.3.03.00- MARCAS E PATENTES</v>
      </c>
      <c r="B101" s="10">
        <v>808</v>
      </c>
      <c r="C101" s="10">
        <v>0</v>
      </c>
      <c r="D101" s="10">
        <v>808</v>
      </c>
    </row>
    <row r="102" spans="1:4" x14ac:dyDescent="0.25">
      <c r="A102" s="2" t="str">
        <f>"1.3.3.03.01- Marcas e Patentes"</f>
        <v>1.3.3.03.01- Marcas e Patentes</v>
      </c>
      <c r="B102" s="10">
        <v>808</v>
      </c>
      <c r="C102" s="10">
        <v>0</v>
      </c>
      <c r="D102" s="10">
        <v>808</v>
      </c>
    </row>
    <row r="103" spans="1:4" x14ac:dyDescent="0.25">
      <c r="A103" s="2" t="str">
        <f>"1.3.3.04.01- Programas e Sistemas"</f>
        <v>1.3.3.04.01- Programas e Sistemas</v>
      </c>
      <c r="B103" s="10">
        <v>36750</v>
      </c>
      <c r="C103" s="10">
        <v>0</v>
      </c>
      <c r="D103" s="10">
        <v>36750</v>
      </c>
    </row>
    <row r="104" spans="1:4" x14ac:dyDescent="0.25">
      <c r="A104" s="2" t="str">
        <f>"1.3.5.00.00- ( - )DEPRECIACAO E AMORTIZACAO"</f>
        <v>1.3.5.00.00- ( - )DEPRECIACAO E AMORTIZACAO</v>
      </c>
      <c r="B104" s="10">
        <v>-5859825.3600000003</v>
      </c>
      <c r="C104" s="10">
        <v>-20976.83</v>
      </c>
      <c r="D104" s="10">
        <v>-5880802.1900000004</v>
      </c>
    </row>
    <row r="105" spans="1:4" x14ac:dyDescent="0.25">
      <c r="A105" s="2" t="str">
        <f>"1.3.5.01.00- ( - ) DEPRECIACAO E AMORTIZACAO"</f>
        <v>1.3.5.01.00- ( - ) DEPRECIACAO E AMORTIZACAO</v>
      </c>
      <c r="B105" s="10">
        <v>-5859825.3600000003</v>
      </c>
      <c r="C105" s="10">
        <v>-20976.83</v>
      </c>
      <c r="D105" s="10">
        <v>-5880802.1900000004</v>
      </c>
    </row>
    <row r="106" spans="1:4" x14ac:dyDescent="0.25">
      <c r="A106" s="2" t="str">
        <f>"1.3.5.01.01- ( - ) Moveis e Utensilios"</f>
        <v>1.3.5.01.01- ( - ) Moveis e Utensilios</v>
      </c>
      <c r="B106" s="10">
        <v>-461100.79999999999</v>
      </c>
      <c r="C106" s="10">
        <v>-2126.19</v>
      </c>
      <c r="D106" s="10">
        <v>-463226.99</v>
      </c>
    </row>
    <row r="107" spans="1:4" x14ac:dyDescent="0.25">
      <c r="A107" s="2" t="str">
        <f>"1.3.5.01.02- ( - ) Aparelhos/Equipamentos Diversos"</f>
        <v>1.3.5.01.02- ( - ) Aparelhos/Equipamentos Diversos</v>
      </c>
      <c r="B107" s="10">
        <v>-395194.71</v>
      </c>
      <c r="C107" s="10">
        <v>-3964.69</v>
      </c>
      <c r="D107" s="10">
        <v>-399159.4</v>
      </c>
    </row>
    <row r="108" spans="1:4" x14ac:dyDescent="0.25">
      <c r="A108" s="2" t="str">
        <f>"1.3.5.01.03- ( - ) Instalacoes Administrativas"</f>
        <v>1.3.5.01.03- ( - ) Instalacoes Administrativas</v>
      </c>
      <c r="B108" s="10">
        <v>-99049.600000000006</v>
      </c>
      <c r="C108" s="10">
        <v>-3.31</v>
      </c>
      <c r="D108" s="10">
        <v>-99052.91</v>
      </c>
    </row>
    <row r="109" spans="1:4" x14ac:dyDescent="0.25">
      <c r="A109" s="2" t="str">
        <f>"1.3.5.01.05- ( - ) Impressoras e Micros"</f>
        <v>1.3.5.01.05- ( - ) Impressoras e Micros</v>
      </c>
      <c r="B109" s="10">
        <v>-3310782.42</v>
      </c>
      <c r="C109" s="10">
        <v>-7001.54</v>
      </c>
      <c r="D109" s="10">
        <v>-3317783.96</v>
      </c>
    </row>
    <row r="110" spans="1:4" x14ac:dyDescent="0.25">
      <c r="A110" s="2" t="str">
        <f>"1.3.5.01.06- ( - ) Maquinas e Equipamentos"</f>
        <v>1.3.5.01.06- ( - ) Maquinas e Equipamentos</v>
      </c>
      <c r="B110" s="10">
        <v>-167598</v>
      </c>
      <c r="C110" s="10">
        <v>-1394.92</v>
      </c>
      <c r="D110" s="10">
        <v>-168992.92</v>
      </c>
    </row>
    <row r="111" spans="1:4" x14ac:dyDescent="0.25">
      <c r="A111" s="2" t="str">
        <f>"1.3.5.01.07- ( - ) Equipamentos de Comunicacao"</f>
        <v>1.3.5.01.07- ( - ) Equipamentos de Comunicacao</v>
      </c>
      <c r="B111" s="10">
        <v>-172097.01</v>
      </c>
      <c r="C111" s="10">
        <v>-5</v>
      </c>
      <c r="D111" s="10">
        <v>-172102.01</v>
      </c>
    </row>
    <row r="112" spans="1:4" x14ac:dyDescent="0.25">
      <c r="A112" s="2" t="str">
        <f>"1.3.5.01.08- ( - ) Instalacoes Operacionais"</f>
        <v>1.3.5.01.08- ( - ) Instalacoes Operacionais</v>
      </c>
      <c r="B112" s="10">
        <v>-68485.210000000006</v>
      </c>
      <c r="C112" s="10">
        <v>-232.87</v>
      </c>
      <c r="D112" s="10">
        <v>-68718.080000000002</v>
      </c>
    </row>
    <row r="113" spans="1:4" x14ac:dyDescent="0.25">
      <c r="A113" s="2" t="str">
        <f>"1.3.5.01.09- ( - ) Programas (Softwares)"</f>
        <v>1.3.5.01.09- ( - ) Programas (Softwares)</v>
      </c>
      <c r="B113" s="10">
        <v>-33642.19</v>
      </c>
      <c r="C113" s="10">
        <v>-612.5</v>
      </c>
      <c r="D113" s="10">
        <v>-34254.69</v>
      </c>
    </row>
    <row r="114" spans="1:4" x14ac:dyDescent="0.25">
      <c r="A114" s="2" t="str">
        <f>"1.3.5.01.14- ( - ) Ferramentas"</f>
        <v>1.3.5.01.14- ( - ) Ferramentas</v>
      </c>
      <c r="B114" s="10">
        <v>-7600.93</v>
      </c>
      <c r="C114" s="10">
        <v>-56.06</v>
      </c>
      <c r="D114" s="10">
        <v>-7656.99</v>
      </c>
    </row>
    <row r="115" spans="1:4" x14ac:dyDescent="0.25">
      <c r="A115" s="2" t="str">
        <f>"1.3.5.01.15- ( - ) Imobilizacoes em Imov. Terceiros"</f>
        <v>1.3.5.01.15- ( - ) Imobilizacoes em Imov. Terceiros</v>
      </c>
      <c r="B115" s="10">
        <v>-1144274.49</v>
      </c>
      <c r="C115" s="10">
        <v>-5579.75</v>
      </c>
      <c r="D115" s="10">
        <v>-1149854.24</v>
      </c>
    </row>
    <row r="116" spans="1:4" x14ac:dyDescent="0.25">
      <c r="A116" s="2" t="str">
        <f>""</f>
        <v/>
      </c>
      <c r="B116" s="3" t="str">
        <f>""</f>
        <v/>
      </c>
      <c r="C116" s="3" t="str">
        <f>""</f>
        <v/>
      </c>
      <c r="D116" s="3" t="str">
        <f>""</f>
        <v/>
      </c>
    </row>
    <row r="117" spans="1:4" x14ac:dyDescent="0.25">
      <c r="A117" s="2" t="str">
        <f>"PASSIVO"</f>
        <v>PASSIVO</v>
      </c>
      <c r="B117" s="3" t="str">
        <f>""</f>
        <v/>
      </c>
      <c r="C117" s="3" t="str">
        <f>""</f>
        <v/>
      </c>
      <c r="D117" s="3" t="str">
        <f>""</f>
        <v/>
      </c>
    </row>
    <row r="118" spans="1:4" x14ac:dyDescent="0.25">
      <c r="A118" s="2" t="str">
        <f>"2.0.0.00.00- PASSIVO"</f>
        <v>2.0.0.00.00- PASSIVO</v>
      </c>
      <c r="B118" s="10">
        <v>55088668.170000002</v>
      </c>
      <c r="C118" s="10">
        <v>1432963.81</v>
      </c>
      <c r="D118" s="10">
        <v>56521631.979999997</v>
      </c>
    </row>
    <row r="119" spans="1:4" x14ac:dyDescent="0.25">
      <c r="A119" s="2" t="str">
        <f>"2.1.0.00.00- PASSIVO CIRCULANTE"</f>
        <v>2.1.0.00.00- PASSIVO CIRCULANTE</v>
      </c>
      <c r="B119" s="10">
        <v>84011139.489999995</v>
      </c>
      <c r="C119" s="10">
        <v>1583506.62</v>
      </c>
      <c r="D119" s="10">
        <v>85594646.109999999</v>
      </c>
    </row>
    <row r="120" spans="1:4" x14ac:dyDescent="0.25">
      <c r="A120" s="2" t="str">
        <f>"2.1.1.00.00- OBRIGACOES COM PESSOAL"</f>
        <v>2.1.1.00.00- OBRIGACOES COM PESSOAL</v>
      </c>
      <c r="B120" s="10">
        <v>18794244.309999999</v>
      </c>
      <c r="C120" s="10">
        <v>168594.47</v>
      </c>
      <c r="D120" s="10">
        <v>18962838.780000001</v>
      </c>
    </row>
    <row r="121" spans="1:4" x14ac:dyDescent="0.25">
      <c r="A121" s="2" t="str">
        <f>"2.1.1.01.00- SALARIOS A PAGAR"</f>
        <v>2.1.1.01.00- SALARIOS A PAGAR</v>
      </c>
      <c r="B121" s="10">
        <v>18794244.309999999</v>
      </c>
      <c r="C121" s="10">
        <v>168594.47</v>
      </c>
      <c r="D121" s="10">
        <v>18962838.780000001</v>
      </c>
    </row>
    <row r="122" spans="1:4" x14ac:dyDescent="0.25">
      <c r="A122" s="2" t="str">
        <f>"2.1.1.01.01- Salarios a Pagar"</f>
        <v>2.1.1.01.01- Salarios a Pagar</v>
      </c>
      <c r="B122" s="10">
        <v>4652619.5599999996</v>
      </c>
      <c r="C122" s="10">
        <v>20782.07</v>
      </c>
      <c r="D122" s="10">
        <v>4673401.63</v>
      </c>
    </row>
    <row r="123" spans="1:4" x14ac:dyDescent="0.25">
      <c r="A123" s="2" t="str">
        <f>"2.1.1.01.02- Provisão 13º Salário"</f>
        <v>2.1.1.01.02- Provisão 13º Salário</v>
      </c>
      <c r="B123" s="10">
        <v>3394372.24</v>
      </c>
      <c r="C123" s="10">
        <v>466512.28</v>
      </c>
      <c r="D123" s="10">
        <v>3860884.52</v>
      </c>
    </row>
    <row r="124" spans="1:4" x14ac:dyDescent="0.25">
      <c r="A124" s="2" t="str">
        <f>"2.1.1.01.03- Ferias a pagar"</f>
        <v>2.1.1.01.03- Ferias a pagar</v>
      </c>
      <c r="B124" s="10">
        <v>96728.639999999999</v>
      </c>
      <c r="C124" s="10">
        <v>135614.9</v>
      </c>
      <c r="D124" s="10">
        <v>232343.54</v>
      </c>
    </row>
    <row r="125" spans="1:4" x14ac:dyDescent="0.25">
      <c r="A125" s="2" t="str">
        <f>"2.1.1.01.05- Rescisoes a Pagar"</f>
        <v>2.1.1.01.05- Rescisoes a Pagar</v>
      </c>
      <c r="B125" s="10">
        <v>1756.06</v>
      </c>
      <c r="C125" s="10">
        <v>-1756.06</v>
      </c>
      <c r="D125" s="10">
        <v>0</v>
      </c>
    </row>
    <row r="126" spans="1:4" x14ac:dyDescent="0.25">
      <c r="A126" s="2" t="str">
        <f>"2.1.1.01.09- Provisao de Ferias"</f>
        <v>2.1.1.01.09- Provisao de Ferias</v>
      </c>
      <c r="B126" s="10">
        <v>7481295.75</v>
      </c>
      <c r="C126" s="10">
        <v>-114698.94</v>
      </c>
      <c r="D126" s="10">
        <v>7366596.8099999996</v>
      </c>
    </row>
    <row r="127" spans="1:4" x14ac:dyDescent="0.25">
      <c r="A127" s="2" t="str">
        <f>"2.1.1.01.11- Indenizações trabalhistas - ACT"</f>
        <v>2.1.1.01.11- Indenizações trabalhistas - ACT</v>
      </c>
      <c r="B127" s="10">
        <v>3167472.06</v>
      </c>
      <c r="C127" s="10">
        <v>-337859.78</v>
      </c>
      <c r="D127" s="10">
        <v>2829612.28</v>
      </c>
    </row>
    <row r="128" spans="1:4" x14ac:dyDescent="0.25">
      <c r="A128" s="2" t="str">
        <f>"2.1.2.00.00- OBRIGACOES SOCIAIS A CURTO PRAZO"</f>
        <v>2.1.2.00.00- OBRIGACOES SOCIAIS A CURTO PRAZO</v>
      </c>
      <c r="B128" s="10">
        <v>7711467.1699999999</v>
      </c>
      <c r="C128" s="10">
        <v>-217068.52</v>
      </c>
      <c r="D128" s="10">
        <v>7494398.6500000004</v>
      </c>
    </row>
    <row r="129" spans="1:4" x14ac:dyDescent="0.25">
      <c r="A129" s="2" t="str">
        <f>"2.1.2.01.00- OBRIGACOES SOCIAIS A RECOLHER"</f>
        <v>2.1.2.01.00- OBRIGACOES SOCIAIS A RECOLHER</v>
      </c>
      <c r="B129" s="10">
        <v>7711467.1699999999</v>
      </c>
      <c r="C129" s="10">
        <v>-217068.52</v>
      </c>
      <c r="D129" s="10">
        <v>7494398.6500000004</v>
      </c>
    </row>
    <row r="130" spans="1:4" x14ac:dyDescent="0.25">
      <c r="A130" s="2" t="str">
        <f>"2.1.2.01.01- INSS a recolher s/Folha Pagto"</f>
        <v>2.1.2.01.01- INSS a recolher s/Folha Pagto</v>
      </c>
      <c r="B130" s="10">
        <v>2372719.0099999998</v>
      </c>
      <c r="C130" s="10">
        <v>-24432.66</v>
      </c>
      <c r="D130" s="10">
        <v>2348286.35</v>
      </c>
    </row>
    <row r="131" spans="1:4" x14ac:dyDescent="0.25">
      <c r="A131" s="2" t="str">
        <f>"2.1.2.01.02- FGTS a recolher s/Folha Pagto"</f>
        <v>2.1.2.01.02- FGTS a recolher s/Folha Pagto</v>
      </c>
      <c r="B131" s="10">
        <v>665203.18000000005</v>
      </c>
      <c r="C131" s="10">
        <v>-137977.01</v>
      </c>
      <c r="D131" s="10">
        <v>527226.17000000004</v>
      </c>
    </row>
    <row r="132" spans="1:4" x14ac:dyDescent="0.25">
      <c r="A132" s="2" t="str">
        <f>"2.1.2.01.05- Contribuicao Sindical"</f>
        <v>2.1.2.01.05- Contribuicao Sindical</v>
      </c>
      <c r="B132" s="10">
        <v>7715.37</v>
      </c>
      <c r="C132" s="10">
        <v>-227.84</v>
      </c>
      <c r="D132" s="10">
        <v>7487.53</v>
      </c>
    </row>
    <row r="133" spans="1:4" x14ac:dyDescent="0.25">
      <c r="A133" s="2" t="str">
        <f>"2.1.2.01.06- INSS s/Provisao de Ferias"</f>
        <v>2.1.2.01.06- INSS s/Provisao de Ferias</v>
      </c>
      <c r="B133" s="10">
        <v>2170904.12</v>
      </c>
      <c r="C133" s="10">
        <v>-34456.17</v>
      </c>
      <c r="D133" s="10">
        <v>2136447.9500000002</v>
      </c>
    </row>
    <row r="134" spans="1:4" x14ac:dyDescent="0.25">
      <c r="A134" s="2" t="str">
        <f>"2.1.2.01.07- AEB - Assoc. Empreg. BHTRANS"</f>
        <v>2.1.2.01.07- AEB - Assoc. Empreg. BHTRANS</v>
      </c>
      <c r="B134" s="10">
        <v>4812.13</v>
      </c>
      <c r="C134" s="10">
        <v>-43.34</v>
      </c>
      <c r="D134" s="10">
        <v>4768.79</v>
      </c>
    </row>
    <row r="135" spans="1:4" x14ac:dyDescent="0.25">
      <c r="A135" s="2" t="str">
        <f>"2.1.2.01.09- INSS a Recolher s/Autonomos"</f>
        <v>2.1.2.01.09- INSS a Recolher s/Autonomos</v>
      </c>
      <c r="B135" s="10">
        <v>2044.4</v>
      </c>
      <c r="C135" s="10">
        <v>-146.04</v>
      </c>
      <c r="D135" s="10">
        <v>1898.36</v>
      </c>
    </row>
    <row r="136" spans="1:4" x14ac:dyDescent="0.25">
      <c r="A136" s="2" t="str">
        <f>"2.1.2.01.10- INSS s/Provisao de 13.Salario"</f>
        <v>2.1.2.01.10- INSS s/Provisao de 13.Salario</v>
      </c>
      <c r="B136" s="10">
        <v>986576.34</v>
      </c>
      <c r="C136" s="10">
        <v>135538.1</v>
      </c>
      <c r="D136" s="10">
        <v>1122114.44</v>
      </c>
    </row>
    <row r="137" spans="1:4" x14ac:dyDescent="0.25">
      <c r="A137" s="2" t="str">
        <f>"2.1.2.01.11- FGTS s/Provisao de 13.Salario"</f>
        <v>2.1.2.01.11- FGTS s/Provisao de 13.Salario</v>
      </c>
      <c r="B137" s="10">
        <v>76212.490000000005</v>
      </c>
      <c r="C137" s="10">
        <v>33876.36</v>
      </c>
      <c r="D137" s="10">
        <v>110088.85</v>
      </c>
    </row>
    <row r="138" spans="1:4" x14ac:dyDescent="0.25">
      <c r="A138" s="2" t="str">
        <f>"2.1.2.01.12- FGTS s/Provisao de Ferias"</f>
        <v>2.1.2.01.12- FGTS s/Provisao de Ferias</v>
      </c>
      <c r="B138" s="10">
        <v>597976.05000000005</v>
      </c>
      <c r="C138" s="10">
        <v>-9177.4599999999991</v>
      </c>
      <c r="D138" s="10">
        <v>588798.59</v>
      </c>
    </row>
    <row r="139" spans="1:4" x14ac:dyDescent="0.25">
      <c r="A139" s="2" t="str">
        <f>"2.1.2.01.13- Contribuicao ao PAMEH"</f>
        <v>2.1.2.01.13- Contribuicao ao PAMEH</v>
      </c>
      <c r="B139" s="10">
        <v>472453.87</v>
      </c>
      <c r="C139" s="10">
        <v>-2740.01</v>
      </c>
      <c r="D139" s="10">
        <v>469713.86</v>
      </c>
    </row>
    <row r="140" spans="1:4" x14ac:dyDescent="0.25">
      <c r="A140" s="2" t="str">
        <f>"2.1.2.01.15- Crediserv-BH"</f>
        <v>2.1.2.01.15- Crediserv-BH</v>
      </c>
      <c r="B140" s="10">
        <v>18813.560000000001</v>
      </c>
      <c r="C140" s="10">
        <v>-270.99</v>
      </c>
      <c r="D140" s="10">
        <v>18542.57</v>
      </c>
    </row>
    <row r="141" spans="1:4" x14ac:dyDescent="0.25">
      <c r="A141" s="2" t="str">
        <f>"2.1.2.01.16- INSS Fonte a Recolher - PJ"</f>
        <v>2.1.2.01.16- INSS Fonte a Recolher - PJ</v>
      </c>
      <c r="B141" s="10">
        <v>335132.57</v>
      </c>
      <c r="C141" s="10">
        <v>-176993.57</v>
      </c>
      <c r="D141" s="10">
        <v>158139</v>
      </c>
    </row>
    <row r="142" spans="1:4" x14ac:dyDescent="0.25">
      <c r="A142" s="2" t="str">
        <f>"2.1.2.01.18- INSS Fonte a Recolher - P F"</f>
        <v>2.1.2.01.18- INSS Fonte a Recolher - P F</v>
      </c>
      <c r="B142" s="10">
        <v>904.08</v>
      </c>
      <c r="C142" s="10">
        <v>-17.89</v>
      </c>
      <c r="D142" s="10">
        <v>886.19</v>
      </c>
    </row>
    <row r="143" spans="1:4" x14ac:dyDescent="0.25">
      <c r="A143" s="2" t="str">
        <f>"2.1.3.00.00- OBRIGACOES FISCAIS A CURTO PRAZO"</f>
        <v>2.1.3.00.00- OBRIGACOES FISCAIS A CURTO PRAZO</v>
      </c>
      <c r="B143" s="10">
        <v>2189873.7599999998</v>
      </c>
      <c r="C143" s="10">
        <v>-194681.68</v>
      </c>
      <c r="D143" s="10">
        <v>1995192.08</v>
      </c>
    </row>
    <row r="144" spans="1:4" x14ac:dyDescent="0.25">
      <c r="A144" s="2" t="str">
        <f>"2.1.3.01.00- IMPOSTOS E TAXAS A RECOLHER"</f>
        <v>2.1.3.01.00- IMPOSTOS E TAXAS A RECOLHER</v>
      </c>
      <c r="B144" s="10">
        <v>2189873.7599999998</v>
      </c>
      <c r="C144" s="10">
        <v>-194681.68</v>
      </c>
      <c r="D144" s="10">
        <v>1995192.08</v>
      </c>
    </row>
    <row r="145" spans="1:4" x14ac:dyDescent="0.25">
      <c r="A145" s="2" t="str">
        <f>"2.1.3.01.01- IRRF Fonte Folha Pagto"</f>
        <v>2.1.3.01.01- IRRF Fonte Folha Pagto</v>
      </c>
      <c r="B145" s="10">
        <v>781151.38</v>
      </c>
      <c r="C145" s="10">
        <v>-117984.12</v>
      </c>
      <c r="D145" s="10">
        <v>663167.26</v>
      </c>
    </row>
    <row r="146" spans="1:4" x14ac:dyDescent="0.25">
      <c r="A146" s="2" t="str">
        <f>"2.1.3.01.03- IRRF Fonte - Pessoa  Juridica e Física"</f>
        <v>2.1.3.01.03- IRRF Fonte - Pessoa  Juridica e Física</v>
      </c>
      <c r="B146" s="10">
        <v>42022.76</v>
      </c>
      <c r="C146" s="10">
        <v>-24117.99</v>
      </c>
      <c r="D146" s="10">
        <v>17904.77</v>
      </c>
    </row>
    <row r="147" spans="1:4" x14ac:dyDescent="0.25">
      <c r="A147" s="2" t="str">
        <f>"2.1.3.01.05- ISS S/ Faturamento"</f>
        <v>2.1.3.01.05- ISS S/ Faturamento</v>
      </c>
      <c r="B147" s="10">
        <v>2007.97</v>
      </c>
      <c r="C147" s="10">
        <v>551.98</v>
      </c>
      <c r="D147" s="10">
        <v>2559.9499999999998</v>
      </c>
    </row>
    <row r="148" spans="1:4" x14ac:dyDescent="0.25">
      <c r="A148" s="2" t="str">
        <f>"2.1.3.01.07- COFINS a Recolher"</f>
        <v>2.1.3.01.07- COFINS a Recolher</v>
      </c>
      <c r="B148" s="10">
        <v>961970.95</v>
      </c>
      <c r="C148" s="10">
        <v>37985.53</v>
      </c>
      <c r="D148" s="10">
        <v>999956.47999999998</v>
      </c>
    </row>
    <row r="149" spans="1:4" x14ac:dyDescent="0.25">
      <c r="A149" s="2" t="str">
        <f>"2.1.3.01.08- PIS a Recolher"</f>
        <v>2.1.3.01.08- PIS a Recolher</v>
      </c>
      <c r="B149" s="10">
        <v>208743.96</v>
      </c>
      <c r="C149" s="10">
        <v>8005.39</v>
      </c>
      <c r="D149" s="10">
        <v>216749.35</v>
      </c>
    </row>
    <row r="150" spans="1:4" x14ac:dyDescent="0.25">
      <c r="A150" s="2" t="str">
        <f>"2.1.3.01.09- ISS Fonte a Recolher P.Juridica"</f>
        <v>2.1.3.01.09- ISS Fonte a Recolher P.Juridica</v>
      </c>
      <c r="B150" s="10">
        <v>5170.55</v>
      </c>
      <c r="C150" s="10">
        <v>-621.4</v>
      </c>
      <c r="D150" s="10">
        <v>4549.1499999999996</v>
      </c>
    </row>
    <row r="151" spans="1:4" x14ac:dyDescent="0.25">
      <c r="A151" s="2" t="str">
        <f>"2.1.3.01.12- CSLL-COFINS-PIS - FONTE"</f>
        <v>2.1.3.01.12- CSLL-COFINS-PIS - FONTE</v>
      </c>
      <c r="B151" s="10">
        <v>188806.19</v>
      </c>
      <c r="C151" s="10">
        <v>-98501.07</v>
      </c>
      <c r="D151" s="10">
        <v>90305.12</v>
      </c>
    </row>
    <row r="152" spans="1:4" x14ac:dyDescent="0.25">
      <c r="A152" s="2" t="str">
        <f>"2.1.4.00.00- OUTRAS OBRIGACOES A CURTO PRAZO"</f>
        <v>2.1.4.00.00- OUTRAS OBRIGACOES A CURTO PRAZO</v>
      </c>
      <c r="B152" s="10">
        <v>55271145.909999996</v>
      </c>
      <c r="C152" s="10">
        <v>1819991.19</v>
      </c>
      <c r="D152" s="10">
        <v>57091137.100000001</v>
      </c>
    </row>
    <row r="153" spans="1:4" x14ac:dyDescent="0.25">
      <c r="A153" s="2" t="str">
        <f>"2.1.4.01.00- FORNECEDORES"</f>
        <v>2.1.4.01.00- FORNECEDORES</v>
      </c>
      <c r="B153" s="10">
        <v>3549917.41</v>
      </c>
      <c r="C153" s="10">
        <v>-801938.33</v>
      </c>
      <c r="D153" s="10">
        <v>2747979.08</v>
      </c>
    </row>
    <row r="154" spans="1:4" x14ac:dyDescent="0.25">
      <c r="A154" s="2" t="str">
        <f>"2.1.4.01.99- Fornecedores"</f>
        <v>2.1.4.01.99- Fornecedores</v>
      </c>
      <c r="B154" s="10">
        <v>3549917.41</v>
      </c>
      <c r="C154" s="10">
        <v>-801938.33</v>
      </c>
      <c r="D154" s="10">
        <v>2747979.08</v>
      </c>
    </row>
    <row r="155" spans="1:4" x14ac:dyDescent="0.25">
      <c r="A155" s="2" t="str">
        <f>"2.1.4.02.00- CONTAS A PAGAR"</f>
        <v>2.1.4.02.00- CONTAS A PAGAR</v>
      </c>
      <c r="B155" s="10">
        <v>296497.90999999997</v>
      </c>
      <c r="C155" s="10">
        <v>222962.13</v>
      </c>
      <c r="D155" s="10">
        <v>519460.04</v>
      </c>
    </row>
    <row r="156" spans="1:4" x14ac:dyDescent="0.25">
      <c r="A156" s="2" t="str">
        <f>"2.1.4.02.01- Emprestimo Consignado - Bradesco"</f>
        <v>2.1.4.02.01- Emprestimo Consignado - Bradesco</v>
      </c>
      <c r="B156" s="10">
        <v>135047.19</v>
      </c>
      <c r="C156" s="10">
        <v>4204</v>
      </c>
      <c r="D156" s="10">
        <v>139251.19</v>
      </c>
    </row>
    <row r="157" spans="1:4" x14ac:dyDescent="0.25">
      <c r="A157" s="2" t="str">
        <f>"2.1.4.02.03- Emprestimo Consignado - CEF"</f>
        <v>2.1.4.02.03- Emprestimo Consignado - CEF</v>
      </c>
      <c r="B157" s="10">
        <v>21965.3</v>
      </c>
      <c r="C157" s="10">
        <v>-853.35</v>
      </c>
      <c r="D157" s="10">
        <v>21111.95</v>
      </c>
    </row>
    <row r="158" spans="1:4" x14ac:dyDescent="0.25">
      <c r="A158" s="2" t="str">
        <f>"2.1.4.02.04- Emprestimo Consignado - B.Brasil"</f>
        <v>2.1.4.02.04- Emprestimo Consignado - B.Brasil</v>
      </c>
      <c r="B158" s="10">
        <v>48214.37</v>
      </c>
      <c r="C158" s="10">
        <v>-182.2</v>
      </c>
      <c r="D158" s="10">
        <v>48032.17</v>
      </c>
    </row>
    <row r="159" spans="1:4" x14ac:dyDescent="0.25">
      <c r="A159" s="2" t="str">
        <f>"2.1.4.02.05- Emprestimo Consignado-Banco Alfa"</f>
        <v>2.1.4.02.05- Emprestimo Consignado-Banco Alfa</v>
      </c>
      <c r="B159" s="10">
        <v>53268.51</v>
      </c>
      <c r="C159" s="10">
        <v>-3542.5</v>
      </c>
      <c r="D159" s="10">
        <v>49726.01</v>
      </c>
    </row>
    <row r="160" spans="1:4" x14ac:dyDescent="0.25">
      <c r="A160" s="2" t="str">
        <f>"2.1.4.02.07- Emprestimo Consignado - B. Safra"</f>
        <v>2.1.4.02.07- Emprestimo Consignado - B. Safra</v>
      </c>
      <c r="B160" s="10">
        <v>10983.29</v>
      </c>
      <c r="C160" s="10">
        <v>-352.43</v>
      </c>
      <c r="D160" s="10">
        <v>10630.86</v>
      </c>
    </row>
    <row r="161" spans="1:4" x14ac:dyDescent="0.25">
      <c r="A161" s="2" t="str">
        <f>"2.1.4.02.09- Emprestimo Consignado - BMC"</f>
        <v>2.1.4.02.09- Emprestimo Consignado - BMC</v>
      </c>
      <c r="B161" s="10">
        <v>307.8</v>
      </c>
      <c r="C161" s="10">
        <v>0</v>
      </c>
      <c r="D161" s="10">
        <v>307.8</v>
      </c>
    </row>
    <row r="162" spans="1:4" x14ac:dyDescent="0.25">
      <c r="A162" s="2" t="str">
        <f>"2.1.4.02.10- Cartão - BMG Card"</f>
        <v>2.1.4.02.10- Cartão - BMG Card</v>
      </c>
      <c r="B162" s="10">
        <v>9851.5499999999993</v>
      </c>
      <c r="C162" s="10">
        <v>49.72</v>
      </c>
      <c r="D162" s="10">
        <v>9901.27</v>
      </c>
    </row>
    <row r="163" spans="1:4" x14ac:dyDescent="0.25">
      <c r="A163" s="2" t="str">
        <f>"2.1.4.02.12- Custas judiciais"</f>
        <v>2.1.4.02.12- Custas judiciais</v>
      </c>
      <c r="B163" s="10">
        <v>0</v>
      </c>
      <c r="C163" s="10">
        <v>1002.8</v>
      </c>
      <c r="D163" s="10">
        <v>1002.8</v>
      </c>
    </row>
    <row r="164" spans="1:4" x14ac:dyDescent="0.25">
      <c r="A164" s="2" t="str">
        <f>"2.1.4.02.99- Contas a Pagar"</f>
        <v>2.1.4.02.99- Contas a Pagar</v>
      </c>
      <c r="B164" s="10">
        <v>16859.900000000001</v>
      </c>
      <c r="C164" s="10">
        <v>222636.09</v>
      </c>
      <c r="D164" s="10">
        <v>239495.99</v>
      </c>
    </row>
    <row r="165" spans="1:4" x14ac:dyDescent="0.25">
      <c r="A165" s="2" t="str">
        <f>"2.1.4.03.00- CREDORES DIVERSOS"</f>
        <v>2.1.4.03.00- CREDORES DIVERSOS</v>
      </c>
      <c r="B165" s="10">
        <v>50704243.259999998</v>
      </c>
      <c r="C165" s="10">
        <v>2398967.39</v>
      </c>
      <c r="D165" s="10">
        <v>53103210.649999999</v>
      </c>
    </row>
    <row r="166" spans="1:4" x14ac:dyDescent="0.25">
      <c r="A166" s="2" t="str">
        <f>"2.1.4.03.07- Adiantamento Acionista - Municipio BH"</f>
        <v>2.1.4.03.07- Adiantamento Acionista - Municipio BH</v>
      </c>
      <c r="B166" s="10">
        <v>50704243.259999998</v>
      </c>
      <c r="C166" s="10">
        <v>2398967.39</v>
      </c>
      <c r="D166" s="10">
        <v>53103210.649999999</v>
      </c>
    </row>
    <row r="167" spans="1:4" x14ac:dyDescent="0.25">
      <c r="A167" s="2" t="str">
        <f>"2.1.4.04.00- CAUCAO DE TERCEIROS/LEILAO"</f>
        <v>2.1.4.04.00- CAUCAO DE TERCEIROS/LEILAO</v>
      </c>
      <c r="B167" s="10">
        <v>720487.33</v>
      </c>
      <c r="C167" s="10">
        <v>0</v>
      </c>
      <c r="D167" s="10">
        <v>720487.33</v>
      </c>
    </row>
    <row r="168" spans="1:4" x14ac:dyDescent="0.25">
      <c r="A168" s="2" t="str">
        <f>"2.1.4.04.98- Leilões"</f>
        <v>2.1.4.04.98- Leilões</v>
      </c>
      <c r="B168" s="10">
        <v>554111.25</v>
      </c>
      <c r="C168" s="10">
        <v>0</v>
      </c>
      <c r="D168" s="10">
        <v>554111.25</v>
      </c>
    </row>
    <row r="169" spans="1:4" x14ac:dyDescent="0.25">
      <c r="A169" s="2" t="str">
        <f>"2.1.4.04.99- Caucao de Terceiros"</f>
        <v>2.1.4.04.99- Caucao de Terceiros</v>
      </c>
      <c r="B169" s="10">
        <v>166376.07999999999</v>
      </c>
      <c r="C169" s="10">
        <v>0</v>
      </c>
      <c r="D169" s="10">
        <v>166376.07999999999</v>
      </c>
    </row>
    <row r="170" spans="1:4" x14ac:dyDescent="0.25">
      <c r="A170" s="2" t="str">
        <f>"2.1.6.00.00- OBRIGACOES VINC. A PAGAR-PAMEH"</f>
        <v>2.1.6.00.00- OBRIGACOES VINC. A PAGAR-PAMEH</v>
      </c>
      <c r="B170" s="10">
        <v>44408.34</v>
      </c>
      <c r="C170" s="10">
        <v>6671.16</v>
      </c>
      <c r="D170" s="10">
        <v>51079.5</v>
      </c>
    </row>
    <row r="171" spans="1:4" x14ac:dyDescent="0.25">
      <c r="A171" s="2" t="str">
        <f>"2.1.6.01.00- OBRIGACOES VINC. -PAMEH"</f>
        <v>2.1.6.01.00- OBRIGACOES VINC. -PAMEH</v>
      </c>
      <c r="B171" s="10">
        <v>44408.34</v>
      </c>
      <c r="C171" s="10">
        <v>6671.16</v>
      </c>
      <c r="D171" s="10">
        <v>51079.5</v>
      </c>
    </row>
    <row r="172" spans="1:4" x14ac:dyDescent="0.25">
      <c r="A172" s="2" t="str">
        <f>"2.1.6.01.01- Obrigacoes Vinculadas - PAMEH"</f>
        <v>2.1.6.01.01- Obrigacoes Vinculadas - PAMEH</v>
      </c>
      <c r="B172" s="10">
        <v>44408.34</v>
      </c>
      <c r="C172" s="10">
        <v>6671.16</v>
      </c>
      <c r="D172" s="10">
        <v>51079.5</v>
      </c>
    </row>
    <row r="173" spans="1:4" x14ac:dyDescent="0.25">
      <c r="A173" s="2" t="str">
        <f>"2.2.0.00.00- PASSIVO NAO CIRCULANTE"</f>
        <v>2.2.0.00.00- PASSIVO NAO CIRCULANTE</v>
      </c>
      <c r="B173" s="10">
        <v>47392288.579999998</v>
      </c>
      <c r="C173" s="10">
        <v>-150707.95000000001</v>
      </c>
      <c r="D173" s="10">
        <v>47241580.630000003</v>
      </c>
    </row>
    <row r="174" spans="1:4" x14ac:dyDescent="0.25">
      <c r="A174" s="2" t="str">
        <f>"2.2.4.00.00- OUTRAS OBRIGACOES A LONGO PRAZO"</f>
        <v>2.2.4.00.00- OUTRAS OBRIGACOES A LONGO PRAZO</v>
      </c>
      <c r="B174" s="10">
        <v>44572544.729999997</v>
      </c>
      <c r="C174" s="10">
        <v>-6705.06</v>
      </c>
      <c r="D174" s="10">
        <v>44565839.670000002</v>
      </c>
    </row>
    <row r="175" spans="1:4" x14ac:dyDescent="0.25">
      <c r="A175" s="2" t="str">
        <f>"2.2.4.01.00- CREDORES DIVERSOS"</f>
        <v>2.2.4.01.00- CREDORES DIVERSOS</v>
      </c>
      <c r="B175" s="10">
        <v>10868557.66</v>
      </c>
      <c r="C175" s="10">
        <v>0</v>
      </c>
      <c r="D175" s="10">
        <v>10868557.66</v>
      </c>
    </row>
    <row r="176" spans="1:4" x14ac:dyDescent="0.25">
      <c r="A176" s="2" t="str">
        <f>"2.2.4.01.04- Provisão para Contingências Fiscais"</f>
        <v>2.2.4.01.04- Provisão para Contingências Fiscais</v>
      </c>
      <c r="B176" s="10">
        <v>9926702.7200000007</v>
      </c>
      <c r="C176" s="10">
        <v>0</v>
      </c>
      <c r="D176" s="10">
        <v>9926702.7200000007</v>
      </c>
    </row>
    <row r="177" spans="1:4" x14ac:dyDescent="0.25">
      <c r="A177" s="2" t="str">
        <f>"2.2.4.01.05- INSS Segurados"</f>
        <v>2.2.4.01.05- INSS Segurados</v>
      </c>
      <c r="B177" s="10">
        <v>941854.94</v>
      </c>
      <c r="C177" s="10">
        <v>0</v>
      </c>
      <c r="D177" s="10">
        <v>941854.94</v>
      </c>
    </row>
    <row r="178" spans="1:4" x14ac:dyDescent="0.25">
      <c r="A178" s="2" t="str">
        <f>"2.2.4.04.00- ACOES JUDICIAIS E TRABALHISTAS"</f>
        <v>2.2.4.04.00- ACOES JUDICIAIS E TRABALHISTAS</v>
      </c>
      <c r="B178" s="10">
        <v>33703987.07</v>
      </c>
      <c r="C178" s="10">
        <v>-6705.06</v>
      </c>
      <c r="D178" s="10">
        <v>33697282.009999998</v>
      </c>
    </row>
    <row r="179" spans="1:4" x14ac:dyDescent="0.25">
      <c r="A179" s="2" t="str">
        <f>"2.2.4.04.01- Acoes judiciais"</f>
        <v>2.2.4.04.01- Acoes judiciais</v>
      </c>
      <c r="B179" s="10">
        <v>16494009.210000001</v>
      </c>
      <c r="C179" s="10">
        <v>0</v>
      </c>
      <c r="D179" s="10">
        <v>16494009.210000001</v>
      </c>
    </row>
    <row r="180" spans="1:4" x14ac:dyDescent="0.25">
      <c r="A180" s="2" t="str">
        <f>"2.2.4.04.02- Acoes trabalhistas"</f>
        <v>2.2.4.04.02- Acoes trabalhistas</v>
      </c>
      <c r="B180" s="10">
        <v>17209977.859999999</v>
      </c>
      <c r="C180" s="10">
        <v>-6705.06</v>
      </c>
      <c r="D180" s="10">
        <v>17203272.800000001</v>
      </c>
    </row>
    <row r="181" spans="1:4" x14ac:dyDescent="0.25">
      <c r="A181" s="2" t="str">
        <f>"2.2.5.00.00- OBRIGACOES VINC.  AO PAMEH"</f>
        <v>2.2.5.00.00- OBRIGACOES VINC.  AO PAMEH</v>
      </c>
      <c r="B181" s="10">
        <v>2819743.85</v>
      </c>
      <c r="C181" s="10">
        <v>-144002.89000000001</v>
      </c>
      <c r="D181" s="10">
        <v>2675740.96</v>
      </c>
    </row>
    <row r="182" spans="1:4" x14ac:dyDescent="0.25">
      <c r="A182" s="2" t="str">
        <f>"2.2.5.01.00- OBRIGACOES VINC.  AO PAMEH"</f>
        <v>2.2.5.01.00- OBRIGACOES VINC.  AO PAMEH</v>
      </c>
      <c r="B182" s="10">
        <v>2819743.85</v>
      </c>
      <c r="C182" s="10">
        <v>-144002.89000000001</v>
      </c>
      <c r="D182" s="10">
        <v>2675740.96</v>
      </c>
    </row>
    <row r="183" spans="1:4" x14ac:dyDescent="0.25">
      <c r="A183" s="2" t="str">
        <f>"2.2.5.01.01- Resultado Exerc.Anteriores-PAMEH"</f>
        <v>2.2.5.01.01- Resultado Exerc.Anteriores-PAMEH</v>
      </c>
      <c r="B183" s="10">
        <v>3478307.51</v>
      </c>
      <c r="C183" s="10">
        <v>0</v>
      </c>
      <c r="D183" s="10">
        <v>3478307.51</v>
      </c>
    </row>
    <row r="184" spans="1:4" x14ac:dyDescent="0.25">
      <c r="A184" s="2" t="str">
        <f>"2.2.5.01.02- Resultado deste Exercicio-PAMEH"</f>
        <v>2.2.5.01.02- Resultado deste Exercicio-PAMEH</v>
      </c>
      <c r="B184" s="10">
        <v>-658563.66</v>
      </c>
      <c r="C184" s="10">
        <v>-144002.89000000001</v>
      </c>
      <c r="D184" s="10">
        <v>-802566.55</v>
      </c>
    </row>
    <row r="185" spans="1:4" x14ac:dyDescent="0.25">
      <c r="A185" s="2" t="str">
        <f>"2.4.0.00.00- PATRIMONIO LIQUIDO"</f>
        <v>2.4.0.00.00- PATRIMONIO LIQUIDO</v>
      </c>
      <c r="B185" s="10">
        <v>-76314759.900000006</v>
      </c>
      <c r="C185" s="10">
        <v>165.14</v>
      </c>
      <c r="D185" s="10">
        <v>-76314594.760000005</v>
      </c>
    </row>
    <row r="186" spans="1:4" x14ac:dyDescent="0.25">
      <c r="A186" s="2" t="str">
        <f>"2.4.1.00.00- CAPITAL SOCIAL"</f>
        <v>2.4.1.00.00- CAPITAL SOCIAL</v>
      </c>
      <c r="B186" s="10">
        <v>67418193.159999996</v>
      </c>
      <c r="C186" s="10">
        <v>0</v>
      </c>
      <c r="D186" s="10">
        <v>67418193.159999996</v>
      </c>
    </row>
    <row r="187" spans="1:4" x14ac:dyDescent="0.25">
      <c r="A187" s="2" t="str">
        <f>"2.4.1.02.00- CAPITAL REALIZADO"</f>
        <v>2.4.1.02.00- CAPITAL REALIZADO</v>
      </c>
      <c r="B187" s="10">
        <v>67418193.159999996</v>
      </c>
      <c r="C187" s="10">
        <v>0</v>
      </c>
      <c r="D187" s="10">
        <v>67418193.159999996</v>
      </c>
    </row>
    <row r="188" spans="1:4" x14ac:dyDescent="0.25">
      <c r="A188" s="2" t="str">
        <f>"2.4.1.02.01- Capital Subscrito"</f>
        <v>2.4.1.02.01- Capital Subscrito</v>
      </c>
      <c r="B188" s="10">
        <v>75000000</v>
      </c>
      <c r="C188" s="10">
        <v>0</v>
      </c>
      <c r="D188" s="10">
        <v>75000000</v>
      </c>
    </row>
    <row r="189" spans="1:4" x14ac:dyDescent="0.25">
      <c r="A189" s="2" t="str">
        <f>"2.4.1.02.04- Capital a Realizar"</f>
        <v>2.4.1.02.04- Capital a Realizar</v>
      </c>
      <c r="B189" s="10">
        <v>-7581806.8399999999</v>
      </c>
      <c r="C189" s="10">
        <v>0</v>
      </c>
      <c r="D189" s="10">
        <v>-7581806.8399999999</v>
      </c>
    </row>
    <row r="190" spans="1:4" x14ac:dyDescent="0.25">
      <c r="A190" s="2" t="str">
        <f>"2.4.3.00.00- RESULTADOS ACUMULADOS"</f>
        <v>2.4.3.00.00- RESULTADOS ACUMULADOS</v>
      </c>
      <c r="B190" s="10">
        <v>-143732953.06</v>
      </c>
      <c r="C190" s="10">
        <v>165.14</v>
      </c>
      <c r="D190" s="10">
        <v>-143732787.91999999</v>
      </c>
    </row>
    <row r="191" spans="1:4" x14ac:dyDescent="0.25">
      <c r="A191" s="2" t="str">
        <f>"2.4.3.01.00- LUCROS/PREJUIZOS ACUMULADOS"</f>
        <v>2.4.3.01.00- LUCROS/PREJUIZOS ACUMULADOS</v>
      </c>
      <c r="B191" s="10">
        <v>-143732953.06</v>
      </c>
      <c r="C191" s="10">
        <v>165.14</v>
      </c>
      <c r="D191" s="10">
        <v>-143732787.91999999</v>
      </c>
    </row>
    <row r="192" spans="1:4" x14ac:dyDescent="0.25">
      <c r="A192" s="2" t="str">
        <f>"2.4.3.01.01- Resultados de Exerc. Anteriores"</f>
        <v>2.4.3.01.01- Resultados de Exerc. Anteriores</v>
      </c>
      <c r="B192" s="10">
        <v>-144079394.25</v>
      </c>
      <c r="C192" s="10">
        <v>0</v>
      </c>
      <c r="D192" s="10">
        <v>-144079394.25</v>
      </c>
    </row>
    <row r="193" spans="1:4" x14ac:dyDescent="0.25">
      <c r="A193" s="2" t="str">
        <f>"2.4.3.01.03- Ajuste do Exercicio Anterior"</f>
        <v>2.4.3.01.03- Ajuste do Exercicio Anterior</v>
      </c>
      <c r="B193" s="10">
        <v>346441.19</v>
      </c>
      <c r="C193" s="10">
        <v>165.14</v>
      </c>
      <c r="D193" s="10">
        <v>346606.33</v>
      </c>
    </row>
    <row r="194" spans="1:4" x14ac:dyDescent="0.25">
      <c r="A194" s="2" t="str">
        <f>""</f>
        <v/>
      </c>
      <c r="B194" s="3" t="str">
        <f>""</f>
        <v/>
      </c>
      <c r="C194" s="3" t="str">
        <f>""</f>
        <v/>
      </c>
      <c r="D194" s="3" t="str">
        <f>""</f>
        <v/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"DESPESAS"</f>
        <v>DESPESAS</v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"3.0.0.00.00- DESPESAS"</f>
        <v>3.0.0.00.00- DESPESAS</v>
      </c>
      <c r="B202" s="10">
        <v>98819796.170000002</v>
      </c>
      <c r="C202" s="10">
        <v>13363884.01</v>
      </c>
      <c r="D202" s="10">
        <v>112183680.18000001</v>
      </c>
    </row>
    <row r="203" spans="1:4" x14ac:dyDescent="0.25">
      <c r="A203" s="2" t="str">
        <f>"3.1.0.00.00- DESPESAS OPERACIONAIS"</f>
        <v>3.1.0.00.00- DESPESAS OPERACIONAIS</v>
      </c>
      <c r="B203" s="10">
        <v>98819796.170000002</v>
      </c>
      <c r="C203" s="10">
        <v>13363884.01</v>
      </c>
      <c r="D203" s="10">
        <v>112183680.18000001</v>
      </c>
    </row>
    <row r="204" spans="1:4" x14ac:dyDescent="0.25">
      <c r="A204" s="2" t="str">
        <f>"3.1.1.00.00- SALARIOS ADICIONAIS E HONORARIOS"</f>
        <v>3.1.1.00.00- SALARIOS ADICIONAIS E HONORARIOS</v>
      </c>
      <c r="B204" s="10">
        <v>52778559.649999999</v>
      </c>
      <c r="C204" s="10">
        <v>6969773.5199999996</v>
      </c>
      <c r="D204" s="10">
        <v>59748333.170000002</v>
      </c>
    </row>
    <row r="205" spans="1:4" x14ac:dyDescent="0.25">
      <c r="A205" s="2" t="str">
        <f>"3.1.1.00.01- Honorarios diretoria"</f>
        <v>3.1.1.00.01- Honorarios diretoria</v>
      </c>
      <c r="B205" s="10">
        <v>596289.1</v>
      </c>
      <c r="C205" s="10">
        <v>67350.59</v>
      </c>
      <c r="D205" s="10">
        <v>663639.68999999994</v>
      </c>
    </row>
    <row r="206" spans="1:4" x14ac:dyDescent="0.25">
      <c r="A206" s="2" t="str">
        <f>"3.1.1.00.02- Honorarios conselho fiscal"</f>
        <v>3.1.1.00.02- Honorarios conselho fiscal</v>
      </c>
      <c r="B206" s="10">
        <v>37180.5</v>
      </c>
      <c r="C206" s="10">
        <v>3541</v>
      </c>
      <c r="D206" s="10">
        <v>40721.5</v>
      </c>
    </row>
    <row r="207" spans="1:4" x14ac:dyDescent="0.25">
      <c r="A207" s="2" t="str">
        <f>"3.1.1.00.03- Honorarios cons. administracao"</f>
        <v>3.1.1.00.03- Honorarios cons. administracao</v>
      </c>
      <c r="B207" s="10">
        <v>70411.22</v>
      </c>
      <c r="C207" s="10">
        <v>4162.24</v>
      </c>
      <c r="D207" s="10">
        <v>74573.460000000006</v>
      </c>
    </row>
    <row r="208" spans="1:4" x14ac:dyDescent="0.25">
      <c r="A208" s="2" t="str">
        <f>"3.1.1.00.04- Salarios e adicionais"</f>
        <v>3.1.1.00.04- Salarios e adicionais</v>
      </c>
      <c r="B208" s="10">
        <v>39382319.479999997</v>
      </c>
      <c r="C208" s="10">
        <v>5684424.3600000003</v>
      </c>
      <c r="D208" s="10">
        <v>45066743.840000004</v>
      </c>
    </row>
    <row r="209" spans="1:4" x14ac:dyDescent="0.25">
      <c r="A209" s="2" t="str">
        <f>"3.1.1.00.05- Ferias e abono pecuniario"</f>
        <v>3.1.1.00.05- Ferias e abono pecuniario</v>
      </c>
      <c r="B209" s="10">
        <v>5230416.37</v>
      </c>
      <c r="C209" s="10">
        <v>707935.91</v>
      </c>
      <c r="D209" s="10">
        <v>5938352.2800000003</v>
      </c>
    </row>
    <row r="210" spans="1:4" x14ac:dyDescent="0.25">
      <c r="A210" s="2" t="str">
        <f>"3.1.1.00.06- Decimo terceiro salario"</f>
        <v>3.1.1.00.06- Decimo terceiro salario</v>
      </c>
      <c r="B210" s="10">
        <v>3409888.65</v>
      </c>
      <c r="C210" s="10">
        <v>485440.68</v>
      </c>
      <c r="D210" s="10">
        <v>3895329.33</v>
      </c>
    </row>
    <row r="211" spans="1:4" x14ac:dyDescent="0.25">
      <c r="A211" s="2" t="str">
        <f>"3.1.1.00.07- Indenizacoes trabalhistas"</f>
        <v>3.1.1.00.07- Indenizacoes trabalhistas</v>
      </c>
      <c r="B211" s="10">
        <v>16500.36</v>
      </c>
      <c r="C211" s="10">
        <v>0</v>
      </c>
      <c r="D211" s="10">
        <v>16500.36</v>
      </c>
    </row>
    <row r="212" spans="1:4" x14ac:dyDescent="0.25">
      <c r="A212" s="2" t="str">
        <f>"3.1.1.00.08- Bolsas de estagiario"</f>
        <v>3.1.1.00.08- Bolsas de estagiario</v>
      </c>
      <c r="B212" s="10">
        <v>102474.17</v>
      </c>
      <c r="C212" s="10">
        <v>16918.740000000002</v>
      </c>
      <c r="D212" s="10">
        <v>119392.91</v>
      </c>
    </row>
    <row r="213" spans="1:4" x14ac:dyDescent="0.25">
      <c r="A213" s="2" t="str">
        <f>"3.1.1.00.10- Indenizações trabalhistas - ACT"</f>
        <v>3.1.1.00.10- Indenizações trabalhistas - ACT</v>
      </c>
      <c r="B213" s="10">
        <v>3933079.8</v>
      </c>
      <c r="C213" s="10">
        <v>0</v>
      </c>
      <c r="D213" s="10">
        <v>3933079.8</v>
      </c>
    </row>
    <row r="214" spans="1:4" x14ac:dyDescent="0.25">
      <c r="A214" s="2" t="str">
        <f>"3.1.2.01.00- ENCARGOS SOCIAIS"</f>
        <v>3.1.2.01.00- ENCARGOS SOCIAIS</v>
      </c>
      <c r="B214" s="10">
        <v>17547279.969999999</v>
      </c>
      <c r="C214" s="10">
        <v>2498237.41</v>
      </c>
      <c r="D214" s="10">
        <v>20045517.379999999</v>
      </c>
    </row>
    <row r="215" spans="1:4" x14ac:dyDescent="0.25">
      <c r="A215" s="2" t="str">
        <f>"3.1.2.01.01- INSS"</f>
        <v>3.1.2.01.01- INSS</v>
      </c>
      <c r="B215" s="10">
        <v>13649205.68</v>
      </c>
      <c r="C215" s="10">
        <v>1946317.43</v>
      </c>
      <c r="D215" s="10">
        <v>15595523.109999999</v>
      </c>
    </row>
    <row r="216" spans="1:4" x14ac:dyDescent="0.25">
      <c r="A216" s="2" t="str">
        <f>"3.1.2.01.02- FGTS"</f>
        <v>3.1.2.01.02- FGTS</v>
      </c>
      <c r="B216" s="10">
        <v>3898074.29</v>
      </c>
      <c r="C216" s="10">
        <v>551919.98</v>
      </c>
      <c r="D216" s="10">
        <v>4449994.2699999996</v>
      </c>
    </row>
    <row r="217" spans="1:4" x14ac:dyDescent="0.25">
      <c r="A217" s="2" t="str">
        <f>"3.1.2.02.00- OUTRAS DESPESAS COM PESSOAL"</f>
        <v>3.1.2.02.00- OUTRAS DESPESAS COM PESSOAL</v>
      </c>
      <c r="B217" s="10">
        <v>8687764.3000000007</v>
      </c>
      <c r="C217" s="10">
        <v>1338718.79</v>
      </c>
      <c r="D217" s="10">
        <v>10026483.09</v>
      </c>
    </row>
    <row r="218" spans="1:4" x14ac:dyDescent="0.25">
      <c r="A218" s="2" t="str">
        <f>"3.1.2.02.01- Seguros de Vida"</f>
        <v>3.1.2.02.01- Seguros de Vida</v>
      </c>
      <c r="B218" s="10">
        <v>42940.3</v>
      </c>
      <c r="C218" s="10">
        <v>27493.3</v>
      </c>
      <c r="D218" s="10">
        <v>70433.600000000006</v>
      </c>
    </row>
    <row r="219" spans="1:4" x14ac:dyDescent="0.25">
      <c r="A219" s="2" t="str">
        <f>"3.1.2.02.02- Ass. Medica Odontologica"</f>
        <v>3.1.2.02.02- Ass. Medica Odontologica</v>
      </c>
      <c r="B219" s="10">
        <v>2408927.21</v>
      </c>
      <c r="C219" s="10">
        <v>404568.29</v>
      </c>
      <c r="D219" s="10">
        <v>2813495.5</v>
      </c>
    </row>
    <row r="220" spans="1:4" x14ac:dyDescent="0.25">
      <c r="A220" s="2" t="str">
        <f>"3.1.2.02.03- Vale Transporte"</f>
        <v>3.1.2.02.03- Vale Transporte</v>
      </c>
      <c r="B220" s="10">
        <v>569078.77</v>
      </c>
      <c r="C220" s="10">
        <v>106301.97</v>
      </c>
      <c r="D220" s="10">
        <v>675380.74</v>
      </c>
    </row>
    <row r="221" spans="1:4" x14ac:dyDescent="0.25">
      <c r="A221" s="2" t="str">
        <f>"3.1.2.02.04- Vale Refeicao/Alimentacao"</f>
        <v>3.1.2.02.04- Vale Refeicao/Alimentacao</v>
      </c>
      <c r="B221" s="10">
        <v>5414263.7300000004</v>
      </c>
      <c r="C221" s="10">
        <v>775219.65</v>
      </c>
      <c r="D221" s="10">
        <v>6189483.3799999999</v>
      </c>
    </row>
    <row r="222" spans="1:4" x14ac:dyDescent="0.25">
      <c r="A222" s="2" t="str">
        <f>"3.1.2.02.05- Compl. Auxilio Doenca"</f>
        <v>3.1.2.02.05- Compl. Auxilio Doenca</v>
      </c>
      <c r="B222" s="10">
        <v>54747.96</v>
      </c>
      <c r="C222" s="10">
        <v>3928.86</v>
      </c>
      <c r="D222" s="10">
        <v>58676.82</v>
      </c>
    </row>
    <row r="223" spans="1:4" x14ac:dyDescent="0.25">
      <c r="A223" s="2" t="str">
        <f>"3.1.2.02.06- Cursos e Treinamentos"</f>
        <v>3.1.2.02.06- Cursos e Treinamentos</v>
      </c>
      <c r="B223" s="10">
        <v>47339.3</v>
      </c>
      <c r="C223" s="10">
        <v>853</v>
      </c>
      <c r="D223" s="10">
        <v>48192.3</v>
      </c>
    </row>
    <row r="224" spans="1:4" x14ac:dyDescent="0.25">
      <c r="A224" s="2" t="str">
        <f>"3.1.2.02.07- Auxilio Creche"</f>
        <v>3.1.2.02.07- Auxilio Creche</v>
      </c>
      <c r="B224" s="10">
        <v>150467.03</v>
      </c>
      <c r="C224" s="10">
        <v>20353.72</v>
      </c>
      <c r="D224" s="10">
        <v>170820.75</v>
      </c>
    </row>
    <row r="225" spans="1:4" x14ac:dyDescent="0.25">
      <c r="A225" s="2" t="str">
        <f>"3.1.3.00.00- MATERIAIS"</f>
        <v>3.1.3.00.00- MATERIAIS</v>
      </c>
      <c r="B225" s="10">
        <v>572052.88</v>
      </c>
      <c r="C225" s="10">
        <v>123132.61</v>
      </c>
      <c r="D225" s="10">
        <v>695185.49</v>
      </c>
    </row>
    <row r="226" spans="1:4" x14ac:dyDescent="0.25">
      <c r="A226" s="2" t="str">
        <f>"3.1.3.00.01- Bens de natureza permanente"</f>
        <v>3.1.3.00.01- Bens de natureza permanente</v>
      </c>
      <c r="B226" s="10">
        <v>9655.48</v>
      </c>
      <c r="C226" s="10">
        <v>0</v>
      </c>
      <c r="D226" s="10">
        <v>9655.48</v>
      </c>
    </row>
    <row r="227" spans="1:4" x14ac:dyDescent="0.25">
      <c r="A227" s="2" t="str">
        <f>"3.1.3.00.02- Lampadas e transformadores"</f>
        <v>3.1.3.00.02- Lampadas e transformadores</v>
      </c>
      <c r="B227" s="10">
        <v>9156</v>
      </c>
      <c r="C227" s="10">
        <v>18147.7</v>
      </c>
      <c r="D227" s="10">
        <v>27303.7</v>
      </c>
    </row>
    <row r="228" spans="1:4" x14ac:dyDescent="0.25">
      <c r="A228" s="2" t="str">
        <f>"3.1.3.00.05- Placas/acessorios/mat.fixacao"</f>
        <v>3.1.3.00.05- Placas/acessorios/mat.fixacao</v>
      </c>
      <c r="B228" s="10">
        <v>605</v>
      </c>
      <c r="C228" s="10">
        <v>0</v>
      </c>
      <c r="D228" s="10">
        <v>605</v>
      </c>
    </row>
    <row r="229" spans="1:4" x14ac:dyDescent="0.25">
      <c r="A229" s="2" t="str">
        <f>"3.1.3.00.08- Material seguranca e uniformes"</f>
        <v>3.1.3.00.08- Material seguranca e uniformes</v>
      </c>
      <c r="B229" s="10">
        <v>4318.9799999999996</v>
      </c>
      <c r="C229" s="10">
        <v>753.66</v>
      </c>
      <c r="D229" s="10">
        <v>5072.6400000000003</v>
      </c>
    </row>
    <row r="230" spans="1:4" x14ac:dyDescent="0.25">
      <c r="A230" s="2" t="str">
        <f>"3.1.3.00.09- Material limp/conserv/copa/cozin"</f>
        <v>3.1.3.00.09- Material limp/conserv/copa/cozin</v>
      </c>
      <c r="B230" s="10">
        <v>91963.58</v>
      </c>
      <c r="C230" s="10">
        <v>16827.330000000002</v>
      </c>
      <c r="D230" s="10">
        <v>108790.91</v>
      </c>
    </row>
    <row r="231" spans="1:4" x14ac:dyDescent="0.25">
      <c r="A231" s="2" t="str">
        <f>"3.1.3.00.10- Impressos e material de escritorio"</f>
        <v>3.1.3.00.10- Impressos e material de escritorio</v>
      </c>
      <c r="B231" s="10">
        <v>90974.93</v>
      </c>
      <c r="C231" s="10">
        <v>20555.95</v>
      </c>
      <c r="D231" s="10">
        <v>111530.88</v>
      </c>
    </row>
    <row r="232" spans="1:4" x14ac:dyDescent="0.25">
      <c r="A232" s="2" t="str">
        <f>"3.1.3.00.11- Materiais manut. inst. prediais"</f>
        <v>3.1.3.00.11- Materiais manut. inst. prediais</v>
      </c>
      <c r="B232" s="10">
        <v>141965.72</v>
      </c>
      <c r="C232" s="10">
        <v>40318.51</v>
      </c>
      <c r="D232" s="10">
        <v>182284.23</v>
      </c>
    </row>
    <row r="233" spans="1:4" x14ac:dyDescent="0.25">
      <c r="A233" s="2" t="str">
        <f>"3.1.3.00.12- Carnes estacionamento rotativo"</f>
        <v>3.1.3.00.12- Carnes estacionamento rotativo</v>
      </c>
      <c r="B233" s="10">
        <v>185927.96</v>
      </c>
      <c r="C233" s="10">
        <v>22324.62</v>
      </c>
      <c r="D233" s="10">
        <v>208252.58</v>
      </c>
    </row>
    <row r="234" spans="1:4" x14ac:dyDescent="0.25">
      <c r="A234" s="2" t="str">
        <f>"3.1.3.00.15- Materiais e supriment informatic"</f>
        <v>3.1.3.00.15- Materiais e supriment informatic</v>
      </c>
      <c r="B234" s="10">
        <v>23452.98</v>
      </c>
      <c r="C234" s="10">
        <v>2757.64</v>
      </c>
      <c r="D234" s="10">
        <v>26210.62</v>
      </c>
    </row>
    <row r="235" spans="1:4" x14ac:dyDescent="0.25">
      <c r="A235" s="2" t="str">
        <f>"3.1.3.00.17- Comb./lubrificantes"</f>
        <v>3.1.3.00.17- Comb./lubrificantes</v>
      </c>
      <c r="B235" s="10">
        <v>2207.25</v>
      </c>
      <c r="C235" s="10">
        <v>0</v>
      </c>
      <c r="D235" s="10">
        <v>2207.25</v>
      </c>
    </row>
    <row r="236" spans="1:4" x14ac:dyDescent="0.25">
      <c r="A236" s="2" t="str">
        <f>"3.1.3.00.18- Livros/jornais/rev./publicacoes"</f>
        <v>3.1.3.00.18- Livros/jornais/rev./publicacoes</v>
      </c>
      <c r="B236" s="10">
        <v>0</v>
      </c>
      <c r="C236" s="10">
        <v>1447.2</v>
      </c>
      <c r="D236" s="10">
        <v>1447.2</v>
      </c>
    </row>
    <row r="237" spans="1:4" x14ac:dyDescent="0.25">
      <c r="A237" s="2" t="str">
        <f>"3.1.3.00.99- Outros materiais"</f>
        <v>3.1.3.00.99- Outros materiais</v>
      </c>
      <c r="B237" s="10">
        <v>11825</v>
      </c>
      <c r="C237" s="10">
        <v>0</v>
      </c>
      <c r="D237" s="10">
        <v>11825</v>
      </c>
    </row>
    <row r="238" spans="1:4" x14ac:dyDescent="0.25">
      <c r="A238" s="2" t="str">
        <f>"3.1.4.00.00- SERVICOS PRESTADOS POR TERCEIROS"</f>
        <v>3.1.4.00.00- SERVICOS PRESTADOS POR TERCEIROS</v>
      </c>
      <c r="B238" s="10">
        <v>13549904.199999999</v>
      </c>
      <c r="C238" s="10">
        <v>1841372.43</v>
      </c>
      <c r="D238" s="10">
        <v>15391276.630000001</v>
      </c>
    </row>
    <row r="239" spans="1:4" x14ac:dyDescent="0.25">
      <c r="A239" s="2" t="str">
        <f>"3.1.4.00.03- Locacao de equipamentos"</f>
        <v>3.1.4.00.03- Locacao de equipamentos</v>
      </c>
      <c r="B239" s="10">
        <v>37951.199999999997</v>
      </c>
      <c r="C239" s="10">
        <v>12650.4</v>
      </c>
      <c r="D239" s="10">
        <v>50601.599999999999</v>
      </c>
    </row>
    <row r="240" spans="1:4" x14ac:dyDescent="0.25">
      <c r="A240" s="2" t="str">
        <f>"3.1.4.00.08- Servicos de auditoria"</f>
        <v>3.1.4.00.08- Servicos de auditoria</v>
      </c>
      <c r="B240" s="10">
        <v>26174.97</v>
      </c>
      <c r="C240" s="10">
        <v>2908.33</v>
      </c>
      <c r="D240" s="10">
        <v>29083.3</v>
      </c>
    </row>
    <row r="241" spans="1:4" x14ac:dyDescent="0.25">
      <c r="A241" s="2" t="str">
        <f>"3.1.4.00.10- Mao de obra contratada"</f>
        <v>3.1.4.00.10- Mao de obra contratada</v>
      </c>
      <c r="B241" s="10">
        <v>425764.08</v>
      </c>
      <c r="C241" s="10">
        <v>31130.880000000001</v>
      </c>
      <c r="D241" s="10">
        <v>456894.96</v>
      </c>
    </row>
    <row r="242" spans="1:4" x14ac:dyDescent="0.25">
      <c r="A242" s="2" t="str">
        <f>"3.1.4.00.12- Reprod. Xerografica/Heliografica"</f>
        <v>3.1.4.00.12- Reprod. Xerografica/Heliografica</v>
      </c>
      <c r="B242" s="10">
        <v>0</v>
      </c>
      <c r="C242" s="10">
        <v>-2.5</v>
      </c>
      <c r="D242" s="10">
        <v>-2.5</v>
      </c>
    </row>
    <row r="243" spans="1:4" x14ac:dyDescent="0.25">
      <c r="A243" s="2" t="str">
        <f>"3.1.4.00.13- Publicidade e divulgacao"</f>
        <v>3.1.4.00.13- Publicidade e divulgacao</v>
      </c>
      <c r="B243" s="10">
        <v>96094.53</v>
      </c>
      <c r="C243" s="10">
        <v>162</v>
      </c>
      <c r="D243" s="10">
        <v>96256.53</v>
      </c>
    </row>
    <row r="244" spans="1:4" x14ac:dyDescent="0.25">
      <c r="A244" s="2" t="str">
        <f>"3.1.4.00.14- Informatica-serv. e/ou locacao"</f>
        <v>3.1.4.00.14- Informatica-serv. e/ou locacao</v>
      </c>
      <c r="B244" s="10">
        <v>956670.03</v>
      </c>
      <c r="C244" s="10">
        <v>117407.72</v>
      </c>
      <c r="D244" s="10">
        <v>1074077.75</v>
      </c>
    </row>
    <row r="245" spans="1:4" x14ac:dyDescent="0.25">
      <c r="A245" s="2" t="str">
        <f>"3.1.4.00.15- Outros serv. prestados - PF"</f>
        <v>3.1.4.00.15- Outros serv. prestados - PF</v>
      </c>
      <c r="B245" s="10">
        <v>58983.1</v>
      </c>
      <c r="C245" s="10">
        <v>9335.84</v>
      </c>
      <c r="D245" s="10">
        <v>68318.94</v>
      </c>
    </row>
    <row r="246" spans="1:4" x14ac:dyDescent="0.25">
      <c r="A246" s="2" t="str">
        <f>"3.1.4.00.16- Outros serv. Prestados - PJ"</f>
        <v>3.1.4.00.16- Outros serv. Prestados - PJ</v>
      </c>
      <c r="B246" s="10">
        <v>147582.96</v>
      </c>
      <c r="C246" s="10">
        <v>6816.84</v>
      </c>
      <c r="D246" s="10">
        <v>154399.79999999999</v>
      </c>
    </row>
    <row r="247" spans="1:4" x14ac:dyDescent="0.25">
      <c r="A247" s="2" t="str">
        <f>"3.1.4.00.17- Servicos postais"</f>
        <v>3.1.4.00.17- Servicos postais</v>
      </c>
      <c r="B247" s="10">
        <v>33868.879999999997</v>
      </c>
      <c r="C247" s="10">
        <v>5549.62</v>
      </c>
      <c r="D247" s="10">
        <v>39418.5</v>
      </c>
    </row>
    <row r="248" spans="1:4" x14ac:dyDescent="0.25">
      <c r="A248" s="2" t="str">
        <f>"3.1.4.00.18- INSS s/servicos de terceiros"</f>
        <v>3.1.4.00.18- INSS s/servicos de terceiros</v>
      </c>
      <c r="B248" s="10">
        <v>15791.87</v>
      </c>
      <c r="C248" s="10">
        <v>2488.0300000000002</v>
      </c>
      <c r="D248" s="10">
        <v>18279.900000000001</v>
      </c>
    </row>
    <row r="249" spans="1:4" x14ac:dyDescent="0.25">
      <c r="A249" s="2" t="str">
        <f>"3.1.4.00.19- Manut. imoveis/instal/equip.oper"</f>
        <v>3.1.4.00.19- Manut. imoveis/instal/equip.oper</v>
      </c>
      <c r="B249" s="10">
        <v>298278.03000000003</v>
      </c>
      <c r="C249" s="10">
        <v>35430.400000000001</v>
      </c>
      <c r="D249" s="10">
        <v>333708.43</v>
      </c>
    </row>
    <row r="250" spans="1:4" x14ac:dyDescent="0.25">
      <c r="A250" s="2" t="str">
        <f>"3.1.4.00.21- Manut. moveis e equip. Escritorio"</f>
        <v>3.1.4.00.21- Manut. moveis e equip. Escritorio</v>
      </c>
      <c r="B250" s="10">
        <v>490</v>
      </c>
      <c r="C250" s="10">
        <v>0</v>
      </c>
      <c r="D250" s="10">
        <v>490</v>
      </c>
    </row>
    <row r="251" spans="1:4" x14ac:dyDescent="0.25">
      <c r="A251" s="2" t="str">
        <f>"3.1.4.00.22- Consultoria tec.Operacional"</f>
        <v>3.1.4.00.22- Consultoria tec.Operacional</v>
      </c>
      <c r="B251" s="10">
        <v>2800</v>
      </c>
      <c r="C251" s="10">
        <v>0</v>
      </c>
      <c r="D251" s="10">
        <v>2800</v>
      </c>
    </row>
    <row r="252" spans="1:4" x14ac:dyDescent="0.25">
      <c r="A252" s="2" t="str">
        <f>"3.1.4.00.24- Loc.serv.mensageiro"</f>
        <v>3.1.4.00.24- Loc.serv.mensageiro</v>
      </c>
      <c r="B252" s="10">
        <v>23153.9</v>
      </c>
      <c r="C252" s="10">
        <v>3676.67</v>
      </c>
      <c r="D252" s="10">
        <v>26830.57</v>
      </c>
    </row>
    <row r="253" spans="1:4" x14ac:dyDescent="0.25">
      <c r="A253" s="2" t="str">
        <f>"3.1.4.00.26- Serv.limp.conserv."</f>
        <v>3.1.4.00.26- Serv.limp.conserv.</v>
      </c>
      <c r="B253" s="10">
        <v>10881889.970000001</v>
      </c>
      <c r="C253" s="10">
        <v>1444109.66</v>
      </c>
      <c r="D253" s="10">
        <v>12325999.630000001</v>
      </c>
    </row>
    <row r="254" spans="1:4" x14ac:dyDescent="0.25">
      <c r="A254" s="2" t="str">
        <f>"3.1.4.00.29- Servicos pesquisa"</f>
        <v>3.1.4.00.29- Servicos pesquisa</v>
      </c>
      <c r="B254" s="10">
        <v>10945.41</v>
      </c>
      <c r="C254" s="10">
        <v>0</v>
      </c>
      <c r="D254" s="10">
        <v>10945.41</v>
      </c>
    </row>
    <row r="255" spans="1:4" x14ac:dyDescent="0.25">
      <c r="A255" s="2" t="str">
        <f>"3.1.4.00.34- Comissao s/venda rotativo"</f>
        <v>3.1.4.00.34- Comissao s/venda rotativo</v>
      </c>
      <c r="B255" s="10">
        <v>401917.16</v>
      </c>
      <c r="C255" s="10">
        <v>41664.81</v>
      </c>
      <c r="D255" s="10">
        <v>443581.97</v>
      </c>
    </row>
    <row r="256" spans="1:4" x14ac:dyDescent="0.25">
      <c r="A256" s="2" t="str">
        <f>"3.1.4.00.36- (-) Desconto ISSQN conf Lei 9145 serv. P"</f>
        <v>3.1.4.00.36- (-) Desconto ISSQN conf Lei 9145 serv. P</v>
      </c>
      <c r="B256" s="10">
        <v>-367016.95</v>
      </c>
      <c r="C256" s="10">
        <v>-99353.1</v>
      </c>
      <c r="D256" s="10">
        <v>-466370.05</v>
      </c>
    </row>
    <row r="257" spans="1:4" x14ac:dyDescent="0.25">
      <c r="A257" s="2" t="str">
        <f>"3.1.4.00.39- Convênio Guarda Municipal"</f>
        <v>3.1.4.00.39- Convênio Guarda Municipal</v>
      </c>
      <c r="B257" s="10">
        <v>498565.06</v>
      </c>
      <c r="C257" s="10">
        <v>227396.83</v>
      </c>
      <c r="D257" s="10">
        <v>725961.89</v>
      </c>
    </row>
    <row r="258" spans="1:4" x14ac:dyDescent="0.25">
      <c r="A258" s="2" t="str">
        <f>"3.1.5.00.00- TARIFAS PUBLICAS"</f>
        <v>3.1.5.00.00- TARIFAS PUBLICAS</v>
      </c>
      <c r="B258" s="10">
        <v>746765.27</v>
      </c>
      <c r="C258" s="10">
        <v>75035.78</v>
      </c>
      <c r="D258" s="10">
        <v>821801.05</v>
      </c>
    </row>
    <row r="259" spans="1:4" x14ac:dyDescent="0.25">
      <c r="A259" s="2" t="str">
        <f>"3.1.5.00.02- Energia eletrica"</f>
        <v>3.1.5.00.02- Energia eletrica</v>
      </c>
      <c r="B259" s="10">
        <v>559208.17000000004</v>
      </c>
      <c r="C259" s="10">
        <v>36805.29</v>
      </c>
      <c r="D259" s="10">
        <v>596013.46</v>
      </c>
    </row>
    <row r="260" spans="1:4" x14ac:dyDescent="0.25">
      <c r="A260" s="2" t="str">
        <f>"3.1.5.00.03- Telefone"</f>
        <v>3.1.5.00.03- Telefone</v>
      </c>
      <c r="B260" s="10">
        <v>187557.1</v>
      </c>
      <c r="C260" s="10">
        <v>38230.49</v>
      </c>
      <c r="D260" s="10">
        <v>225787.59</v>
      </c>
    </row>
    <row r="261" spans="1:4" x14ac:dyDescent="0.25">
      <c r="A261" s="2" t="str">
        <f>"3.1.6.00.00- DESPESAS TRIBUTARIAS"</f>
        <v>3.1.6.00.00- DESPESAS TRIBUTARIAS</v>
      </c>
      <c r="B261" s="10">
        <v>1645316.42</v>
      </c>
      <c r="C261" s="10">
        <v>238841.59</v>
      </c>
      <c r="D261" s="10">
        <v>1884158.01</v>
      </c>
    </row>
    <row r="262" spans="1:4" x14ac:dyDescent="0.25">
      <c r="A262" s="2" t="str">
        <f>"3.1.6.00.01- Taxas legais"</f>
        <v>3.1.6.00.01- Taxas legais</v>
      </c>
      <c r="B262" s="10">
        <v>21656.1</v>
      </c>
      <c r="C262" s="10">
        <v>0</v>
      </c>
      <c r="D262" s="10">
        <v>21656.1</v>
      </c>
    </row>
    <row r="263" spans="1:4" x14ac:dyDescent="0.25">
      <c r="A263" s="2" t="str">
        <f>"3.1.6.00.03- IOF"</f>
        <v>3.1.6.00.03- IOF</v>
      </c>
      <c r="B263" s="10">
        <v>1178</v>
      </c>
      <c r="C263" s="10">
        <v>0</v>
      </c>
      <c r="D263" s="10">
        <v>1178</v>
      </c>
    </row>
    <row r="264" spans="1:4" x14ac:dyDescent="0.25">
      <c r="A264" s="2" t="str">
        <f>"3.1.6.00.06- PIS"</f>
        <v>3.1.6.00.06- PIS</v>
      </c>
      <c r="B264" s="10">
        <v>278487.67</v>
      </c>
      <c r="C264" s="10">
        <v>41340.26</v>
      </c>
      <c r="D264" s="10">
        <v>319827.93</v>
      </c>
    </row>
    <row r="265" spans="1:4" x14ac:dyDescent="0.25">
      <c r="A265" s="2" t="str">
        <f>"3.1.6.00.07- COFINS"</f>
        <v>3.1.6.00.07- COFINS</v>
      </c>
      <c r="B265" s="10">
        <v>1282731.1100000001</v>
      </c>
      <c r="C265" s="10">
        <v>190415.73</v>
      </c>
      <c r="D265" s="10">
        <v>1473146.84</v>
      </c>
    </row>
    <row r="266" spans="1:4" x14ac:dyDescent="0.25">
      <c r="A266" s="2" t="str">
        <f>"3.1.6.00.08- Multas indedutiveis"</f>
        <v>3.1.6.00.08- Multas indedutiveis</v>
      </c>
      <c r="B266" s="10">
        <v>0.84</v>
      </c>
      <c r="C266" s="10">
        <v>0</v>
      </c>
      <c r="D266" s="10">
        <v>0.84</v>
      </c>
    </row>
    <row r="267" spans="1:4" x14ac:dyDescent="0.25">
      <c r="A267" s="2" t="str">
        <f>"3.1.6.00.10- ISS s/faturamento"</f>
        <v>3.1.6.00.10- ISS s/faturamento</v>
      </c>
      <c r="B267" s="10">
        <v>14042.94</v>
      </c>
      <c r="C267" s="10">
        <v>2559.9499999999998</v>
      </c>
      <c r="D267" s="10">
        <v>16602.89</v>
      </c>
    </row>
    <row r="268" spans="1:4" x14ac:dyDescent="0.25">
      <c r="A268" s="2" t="str">
        <f>"3.1.6.00.14- Contrib.entid.classe"</f>
        <v>3.1.6.00.14- Contrib.entid.classe</v>
      </c>
      <c r="B268" s="10">
        <v>22800.86</v>
      </c>
      <c r="C268" s="10">
        <v>0</v>
      </c>
      <c r="D268" s="10">
        <v>22800.86</v>
      </c>
    </row>
    <row r="269" spans="1:4" x14ac:dyDescent="0.25">
      <c r="A269" s="2" t="str">
        <f>"3.1.6.00.15- INSS Serv.terceiros"</f>
        <v>3.1.6.00.15- INSS Serv.terceiros</v>
      </c>
      <c r="B269" s="10">
        <v>13166.53</v>
      </c>
      <c r="C269" s="10">
        <v>1898.36</v>
      </c>
      <c r="D269" s="10">
        <v>15064.89</v>
      </c>
    </row>
    <row r="270" spans="1:4" x14ac:dyDescent="0.25">
      <c r="A270" s="2" t="str">
        <f>"3.1.6.00.17- PIS s/ receitas financeiras"</f>
        <v>3.1.6.00.17- PIS s/ receitas financeiras</v>
      </c>
      <c r="B270" s="10">
        <v>1572.91</v>
      </c>
      <c r="C270" s="10">
        <v>367.26</v>
      </c>
      <c r="D270" s="10">
        <v>1940.17</v>
      </c>
    </row>
    <row r="271" spans="1:4" x14ac:dyDescent="0.25">
      <c r="A271" s="2" t="str">
        <f>"3.1.6.00.18- Cofins s/ receitas financeiras"</f>
        <v>3.1.6.00.18- Cofins s/ receitas financeiras</v>
      </c>
      <c r="B271" s="10">
        <v>9679.4599999999991</v>
      </c>
      <c r="C271" s="10">
        <v>2260.0300000000002</v>
      </c>
      <c r="D271" s="10">
        <v>11939.49</v>
      </c>
    </row>
    <row r="272" spans="1:4" x14ac:dyDescent="0.25">
      <c r="A272" s="2" t="str">
        <f>"3.1.7.00.00- DESPESAS FINANCEIRAS"</f>
        <v>3.1.7.00.00- DESPESAS FINANCEIRAS</v>
      </c>
      <c r="B272" s="10">
        <v>493593.59999999998</v>
      </c>
      <c r="C272" s="10">
        <v>5535.04</v>
      </c>
      <c r="D272" s="10">
        <v>499128.64</v>
      </c>
    </row>
    <row r="273" spans="1:4" x14ac:dyDescent="0.25">
      <c r="A273" s="2" t="str">
        <f>"3.1.7.01.01- Juros passivos curto prazo"</f>
        <v>3.1.7.01.01- Juros passivos curto prazo</v>
      </c>
      <c r="B273" s="10">
        <v>484703.43</v>
      </c>
      <c r="C273" s="10">
        <v>4111.1899999999996</v>
      </c>
      <c r="D273" s="10">
        <v>488814.62</v>
      </c>
    </row>
    <row r="274" spans="1:4" x14ac:dyDescent="0.25">
      <c r="A274" s="2" t="str">
        <f>"3.1.7.01.02- Despesas bancarias"</f>
        <v>3.1.7.01.02- Despesas bancarias</v>
      </c>
      <c r="B274" s="10">
        <v>8890.17</v>
      </c>
      <c r="C274" s="10">
        <v>1423.85</v>
      </c>
      <c r="D274" s="10">
        <v>10314.02</v>
      </c>
    </row>
    <row r="275" spans="1:4" x14ac:dyDescent="0.25">
      <c r="A275" s="2" t="str">
        <f>"3.1.8.00.00- OUTRAS DESPESAS"</f>
        <v>3.1.8.00.00- OUTRAS DESPESAS</v>
      </c>
      <c r="B275" s="10">
        <v>2798559.88</v>
      </c>
      <c r="C275" s="10">
        <v>273236.84000000003</v>
      </c>
      <c r="D275" s="10">
        <v>3071796.72</v>
      </c>
    </row>
    <row r="276" spans="1:4" x14ac:dyDescent="0.25">
      <c r="A276" s="2" t="str">
        <f>"3.1.8.00.01- Despesas de viagem"</f>
        <v>3.1.8.00.01- Despesas de viagem</v>
      </c>
      <c r="B276" s="10">
        <v>49159.03</v>
      </c>
      <c r="C276" s="10">
        <v>6428.91</v>
      </c>
      <c r="D276" s="10">
        <v>55587.94</v>
      </c>
    </row>
    <row r="277" spans="1:4" x14ac:dyDescent="0.25">
      <c r="A277" s="2" t="str">
        <f>"3.1.8.00.05- Depreciacao/amort"</f>
        <v>3.1.8.00.05- Depreciacao/amort</v>
      </c>
      <c r="B277" s="10">
        <v>148783.34</v>
      </c>
      <c r="C277" s="10">
        <v>20976.83</v>
      </c>
      <c r="D277" s="10">
        <v>169760.17</v>
      </c>
    </row>
    <row r="278" spans="1:4" x14ac:dyDescent="0.25">
      <c r="A278" s="2" t="str">
        <f>"3.1.8.00.06- Seguros bens moveis e imoveis"</f>
        <v>3.1.8.00.06- Seguros bens moveis e imoveis</v>
      </c>
      <c r="B278" s="10">
        <v>5759.83</v>
      </c>
      <c r="C278" s="10">
        <v>498.64</v>
      </c>
      <c r="D278" s="10">
        <v>6258.47</v>
      </c>
    </row>
    <row r="279" spans="1:4" x14ac:dyDescent="0.25">
      <c r="A279" s="2" t="str">
        <f>"3.1.8.00.08- Alugueis e condominio"</f>
        <v>3.1.8.00.08- Alugueis e condominio</v>
      </c>
      <c r="B279" s="10">
        <v>36019.629999999997</v>
      </c>
      <c r="C279" s="10">
        <v>5071.8100000000004</v>
      </c>
      <c r="D279" s="10">
        <v>41091.440000000002</v>
      </c>
    </row>
    <row r="280" spans="1:4" x14ac:dyDescent="0.25">
      <c r="A280" s="2" t="str">
        <f>"3.1.8.00.12- Acoes judiciais terceiros"</f>
        <v>3.1.8.00.12- Acoes judiciais terceiros</v>
      </c>
      <c r="B280" s="10">
        <v>74117.039999999994</v>
      </c>
      <c r="C280" s="10">
        <v>0</v>
      </c>
      <c r="D280" s="10">
        <v>74117.039999999994</v>
      </c>
    </row>
    <row r="281" spans="1:4" x14ac:dyDescent="0.25">
      <c r="A281" s="2" t="str">
        <f>"3.1.8.00.16- Baixa de imobilizado"</f>
        <v>3.1.8.00.16- Baixa de imobilizado</v>
      </c>
      <c r="B281" s="10">
        <v>43459.94</v>
      </c>
      <c r="C281" s="10">
        <v>0</v>
      </c>
      <c r="D281" s="10">
        <v>43459.94</v>
      </c>
    </row>
    <row r="282" spans="1:4" x14ac:dyDescent="0.25">
      <c r="A282" s="2" t="str">
        <f>"3.1.8.00.17- Gastos com eventos e promocoes"</f>
        <v>3.1.8.00.17- Gastos com eventos e promocoes</v>
      </c>
      <c r="B282" s="10">
        <v>14209.98</v>
      </c>
      <c r="C282" s="10">
        <v>6283.78</v>
      </c>
      <c r="D282" s="10">
        <v>20493.759999999998</v>
      </c>
    </row>
    <row r="283" spans="1:4" x14ac:dyDescent="0.25">
      <c r="A283" s="2" t="str">
        <f>"3.1.8.00.18- Provisao para perdas"</f>
        <v>3.1.8.00.18- Provisao para perdas</v>
      </c>
      <c r="B283" s="10">
        <v>384824.41</v>
      </c>
      <c r="C283" s="10">
        <v>87907.27</v>
      </c>
      <c r="D283" s="10">
        <v>472731.68</v>
      </c>
    </row>
    <row r="284" spans="1:4" x14ac:dyDescent="0.25">
      <c r="A284" s="2" t="str">
        <f>"3.1.8.00.22- Perda tributos a recuperar"</f>
        <v>3.1.8.00.22- Perda tributos a recuperar</v>
      </c>
      <c r="B284" s="10">
        <v>1395955.29</v>
      </c>
      <c r="C284" s="10">
        <v>0</v>
      </c>
      <c r="D284" s="10">
        <v>1395955.29</v>
      </c>
    </row>
    <row r="285" spans="1:4" x14ac:dyDescent="0.25">
      <c r="A285" s="2" t="str">
        <f>"3.1.8.00.23- Custas/Despesas Judiciais"</f>
        <v>3.1.8.00.23- Custas/Despesas Judiciais</v>
      </c>
      <c r="B285" s="10">
        <v>39857.879999999997</v>
      </c>
      <c r="C285" s="10">
        <v>24874.67</v>
      </c>
      <c r="D285" s="10">
        <v>64732.55</v>
      </c>
    </row>
    <row r="286" spans="1:4" x14ac:dyDescent="0.25">
      <c r="A286" s="2" t="str">
        <f>"3.1.8.00.30- Estacionamento Rotativo Digital"</f>
        <v>3.1.8.00.30- Estacionamento Rotativo Digital</v>
      </c>
      <c r="B286" s="10">
        <v>600551.5</v>
      </c>
      <c r="C286" s="10">
        <v>120110.3</v>
      </c>
      <c r="D286" s="10">
        <v>720661.8</v>
      </c>
    </row>
    <row r="287" spans="1:4" x14ac:dyDescent="0.25">
      <c r="A287" s="2" t="str">
        <f>"3.1.8.00.99- Despesas diversas"</f>
        <v>3.1.8.00.99- Despesas diversas</v>
      </c>
      <c r="B287" s="10">
        <v>5862.01</v>
      </c>
      <c r="C287" s="10">
        <v>1084.6300000000001</v>
      </c>
      <c r="D287" s="10">
        <v>6946.64</v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"RECEITAS"</f>
        <v>RECEITAS</v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"4.0.0.00.00- RECEITAS"</f>
        <v>4.0.0.00.00- RECEITAS</v>
      </c>
      <c r="B299" s="10">
        <v>91417882.430000007</v>
      </c>
      <c r="C299" s="10">
        <v>13027453.710000001</v>
      </c>
      <c r="D299" s="10">
        <v>104445336.14</v>
      </c>
    </row>
    <row r="300" spans="1:4" x14ac:dyDescent="0.25">
      <c r="A300" s="2" t="str">
        <f>"4.1.0.00.00- RECEITAS BHTRANS"</f>
        <v>4.1.0.00.00- RECEITAS BHTRANS</v>
      </c>
      <c r="B300" s="10">
        <v>90252215.920000002</v>
      </c>
      <c r="C300" s="10">
        <v>12919853.949999999</v>
      </c>
      <c r="D300" s="10">
        <v>103172069.87</v>
      </c>
    </row>
    <row r="301" spans="1:4" x14ac:dyDescent="0.25">
      <c r="A301" s="2" t="str">
        <f>"4.1.1.00.00- RECEITAS OPERACIONAIS"</f>
        <v>4.1.1.00.00- RECEITAS OPERACIONAIS</v>
      </c>
      <c r="B301" s="10">
        <v>89857233.209999993</v>
      </c>
      <c r="C301" s="10">
        <v>12842564.35</v>
      </c>
      <c r="D301" s="10">
        <v>102699797.56</v>
      </c>
    </row>
    <row r="302" spans="1:4" x14ac:dyDescent="0.25">
      <c r="A302" s="2" t="str">
        <f>"4.1.1.00.05- Midia taxi, escolar e suplementar"</f>
        <v>4.1.1.00.05- Midia taxi, escolar e suplementar</v>
      </c>
      <c r="B302" s="10">
        <v>17666.41</v>
      </c>
      <c r="C302" s="10">
        <v>5055.76</v>
      </c>
      <c r="D302" s="10">
        <v>22722.17</v>
      </c>
    </row>
    <row r="303" spans="1:4" x14ac:dyDescent="0.25">
      <c r="A303" s="2" t="str">
        <f>"4.1.1.00.06- Midia em onibus"</f>
        <v>4.1.1.00.06- Midia em onibus</v>
      </c>
      <c r="B303" s="10">
        <v>389046.74</v>
      </c>
      <c r="C303" s="10">
        <v>71932.479999999996</v>
      </c>
      <c r="D303" s="10">
        <v>460979.22</v>
      </c>
    </row>
    <row r="304" spans="1:4" x14ac:dyDescent="0.25">
      <c r="A304" s="2" t="str">
        <f>"4.1.1.00.07- Midias diversas"</f>
        <v>4.1.1.00.07- Midias diversas</v>
      </c>
      <c r="B304" s="10">
        <v>61995.01</v>
      </c>
      <c r="C304" s="10">
        <v>8342.83</v>
      </c>
      <c r="D304" s="10">
        <v>70337.84</v>
      </c>
    </row>
    <row r="305" spans="1:4" x14ac:dyDescent="0.25">
      <c r="A305" s="2" t="str">
        <f>"4.1.1.00.08- Estacionamento Rotativo"</f>
        <v>4.1.1.00.08- Estacionamento Rotativo</v>
      </c>
      <c r="B305" s="10">
        <v>11400042.970000001</v>
      </c>
      <c r="C305" s="10">
        <v>1044964.8</v>
      </c>
      <c r="D305" s="10">
        <v>12445007.77</v>
      </c>
    </row>
    <row r="306" spans="1:4" x14ac:dyDescent="0.25">
      <c r="A306" s="2" t="str">
        <f>"4.1.1.00.10- Transf. financeira PBH"</f>
        <v>4.1.1.00.10- Transf. financeira PBH</v>
      </c>
      <c r="B306" s="10">
        <v>74297855.049999997</v>
      </c>
      <c r="C306" s="10">
        <v>10465482.779999999</v>
      </c>
      <c r="D306" s="10">
        <v>84763337.829999998</v>
      </c>
    </row>
    <row r="307" spans="1:4" x14ac:dyDescent="0.25">
      <c r="A307" s="2" t="str">
        <f>"4.1.1.00.16- Multas transporte coletivo"</f>
        <v>4.1.1.00.16- Multas transporte coletivo</v>
      </c>
      <c r="B307" s="10">
        <v>1924121.99</v>
      </c>
      <c r="C307" s="10">
        <v>439536.35</v>
      </c>
      <c r="D307" s="10">
        <v>2363658.34</v>
      </c>
    </row>
    <row r="308" spans="1:4" x14ac:dyDescent="0.25">
      <c r="A308" s="2" t="str">
        <f>"4.1.1.00.17- Multas transporte publico"</f>
        <v>4.1.1.00.17- Multas transporte publico</v>
      </c>
      <c r="B308" s="10">
        <v>466470.73</v>
      </c>
      <c r="C308" s="10">
        <v>116310.54</v>
      </c>
      <c r="D308" s="10">
        <v>582781.27</v>
      </c>
    </row>
    <row r="309" spans="1:4" x14ac:dyDescent="0.25">
      <c r="A309" s="2" t="str">
        <f>"4.1.1.00.19- Subconcessao frotas de taxi"</f>
        <v>4.1.1.00.19- Subconcessao frotas de taxi</v>
      </c>
      <c r="B309" s="10">
        <v>484934.31</v>
      </c>
      <c r="C309" s="10">
        <v>129938.81</v>
      </c>
      <c r="D309" s="10">
        <v>614873.12</v>
      </c>
    </row>
    <row r="310" spans="1:4" x14ac:dyDescent="0.25">
      <c r="A310" s="2" t="str">
        <f>"4.1.1.00.21- Estacionamento Rotativo Digital"</f>
        <v>4.1.1.00.21- Estacionamento Rotativo Digital</v>
      </c>
      <c r="B310" s="10">
        <v>815100</v>
      </c>
      <c r="C310" s="10">
        <v>561000</v>
      </c>
      <c r="D310" s="10">
        <v>1376100</v>
      </c>
    </row>
    <row r="311" spans="1:4" x14ac:dyDescent="0.25">
      <c r="A311" s="2" t="str">
        <f>"4.1.8.00.00- RECEITAS ALUGUEIS ESTACOES"</f>
        <v>4.1.8.00.00- RECEITAS ALUGUEIS ESTACOES</v>
      </c>
      <c r="B311" s="10">
        <v>394982.71</v>
      </c>
      <c r="C311" s="10">
        <v>77289.600000000006</v>
      </c>
      <c r="D311" s="10">
        <v>472272.31</v>
      </c>
    </row>
    <row r="312" spans="1:4" x14ac:dyDescent="0.25">
      <c r="A312" s="2" t="str">
        <f>"4.1.8.00.01- Alugueis Estacoes"</f>
        <v>4.1.8.00.01- Alugueis Estacoes</v>
      </c>
      <c r="B312" s="10">
        <v>394982.71</v>
      </c>
      <c r="C312" s="10">
        <v>77289.600000000006</v>
      </c>
      <c r="D312" s="10">
        <v>472272.31</v>
      </c>
    </row>
    <row r="313" spans="1:4" x14ac:dyDescent="0.25">
      <c r="A313" s="2" t="str">
        <f>"4.2.0.00.00- RECEITAS FINANCEIRAS"</f>
        <v>4.2.0.00.00- RECEITAS FINANCEIRAS</v>
      </c>
      <c r="B313" s="10">
        <v>241986.57</v>
      </c>
      <c r="C313" s="10">
        <v>56500.82</v>
      </c>
      <c r="D313" s="10">
        <v>298487.39</v>
      </c>
    </row>
    <row r="314" spans="1:4" x14ac:dyDescent="0.25">
      <c r="A314" s="2" t="str">
        <f>"4.2.1.00.00- RECEITAS FINANCEIRAS"</f>
        <v>4.2.1.00.00- RECEITAS FINANCEIRAS</v>
      </c>
      <c r="B314" s="10">
        <v>241594.21</v>
      </c>
      <c r="C314" s="10">
        <v>56440.07</v>
      </c>
      <c r="D314" s="10">
        <v>298034.28000000003</v>
      </c>
    </row>
    <row r="315" spans="1:4" x14ac:dyDescent="0.25">
      <c r="A315" s="2" t="str">
        <f>"4.2.1.00.01- Rendimentos aplic. Financeira"</f>
        <v>4.2.1.00.01- Rendimentos aplic. Financeira</v>
      </c>
      <c r="B315" s="10">
        <v>235685.61</v>
      </c>
      <c r="C315" s="10">
        <v>55983.05</v>
      </c>
      <c r="D315" s="10">
        <v>291668.65999999997</v>
      </c>
    </row>
    <row r="316" spans="1:4" x14ac:dyDescent="0.25">
      <c r="A316" s="2" t="str">
        <f>"4.2.1.00.02- Juros ativos"</f>
        <v>4.2.1.00.02- Juros ativos</v>
      </c>
      <c r="B316" s="10">
        <v>1313.11</v>
      </c>
      <c r="C316" s="10">
        <v>457.02</v>
      </c>
      <c r="D316" s="10">
        <v>1770.13</v>
      </c>
    </row>
    <row r="317" spans="1:4" x14ac:dyDescent="0.25">
      <c r="A317" s="2" t="str">
        <f>"4.2.1.00.05- Receitas Financeiras - Convênio"</f>
        <v>4.2.1.00.05- Receitas Financeiras - Convênio</v>
      </c>
      <c r="B317" s="10">
        <v>4595.49</v>
      </c>
      <c r="C317" s="10">
        <v>0</v>
      </c>
      <c r="D317" s="10">
        <v>4595.49</v>
      </c>
    </row>
    <row r="318" spans="1:4" x14ac:dyDescent="0.25">
      <c r="A318" s="2" t="str">
        <f>"4.2.2.00.00- VARIACOES MONETARIAS ATIVAS"</f>
        <v>4.2.2.00.00- VARIACOES MONETARIAS ATIVAS</v>
      </c>
      <c r="B318" s="10">
        <v>392.36</v>
      </c>
      <c r="C318" s="10">
        <v>60.75</v>
      </c>
      <c r="D318" s="10">
        <v>453.11</v>
      </c>
    </row>
    <row r="319" spans="1:4" x14ac:dyDescent="0.25">
      <c r="A319" s="2" t="str">
        <f>"4.2.2.00.01- Variações monetárias ativas"</f>
        <v>4.2.2.00.01- Variações monetárias ativas</v>
      </c>
      <c r="B319" s="10">
        <v>392.36</v>
      </c>
      <c r="C319" s="10">
        <v>60.75</v>
      </c>
      <c r="D319" s="10">
        <v>453.11</v>
      </c>
    </row>
    <row r="320" spans="1:4" x14ac:dyDescent="0.25">
      <c r="A320" s="2" t="str">
        <f>"4.3.0.00.00- OUTRAS RECEITAS"</f>
        <v>4.3.0.00.00- OUTRAS RECEITAS</v>
      </c>
      <c r="B320" s="10">
        <v>923679.94</v>
      </c>
      <c r="C320" s="10">
        <v>51098.94</v>
      </c>
      <c r="D320" s="10">
        <v>974778.88</v>
      </c>
    </row>
    <row r="321" spans="1:4" x14ac:dyDescent="0.25">
      <c r="A321" s="2" t="str">
        <f>"4.3.1.00.00- OUTRAS RECEITAS"</f>
        <v>4.3.1.00.00- OUTRAS RECEITAS</v>
      </c>
      <c r="B321" s="10">
        <v>923679.94</v>
      </c>
      <c r="C321" s="10">
        <v>51098.94</v>
      </c>
      <c r="D321" s="10">
        <v>974778.88</v>
      </c>
    </row>
    <row r="322" spans="1:4" x14ac:dyDescent="0.25">
      <c r="A322" s="2" t="str">
        <f>"4.3.1.00.02- Doacoes"</f>
        <v>4.3.1.00.02- Doacoes</v>
      </c>
      <c r="B322" s="10">
        <v>54589</v>
      </c>
      <c r="C322" s="10">
        <v>0</v>
      </c>
      <c r="D322" s="10">
        <v>54589</v>
      </c>
    </row>
    <row r="323" spans="1:4" x14ac:dyDescent="0.25">
      <c r="A323" s="2" t="str">
        <f>"4.3.1.00.04- Receitas Diversas"</f>
        <v>4.3.1.00.04- Receitas Diversas</v>
      </c>
      <c r="B323" s="10">
        <v>667599.75</v>
      </c>
      <c r="C323" s="10">
        <v>27311.4</v>
      </c>
      <c r="D323" s="10">
        <v>694911.15</v>
      </c>
    </row>
    <row r="324" spans="1:4" x14ac:dyDescent="0.25">
      <c r="A324" s="2" t="str">
        <f>"4.3.1.00.07- Concessão de Abrigo de ônibus"</f>
        <v>4.3.1.00.07- Concessão de Abrigo de ônibus</v>
      </c>
      <c r="B324" s="10">
        <v>201491.19</v>
      </c>
      <c r="C324" s="10">
        <v>23787.54</v>
      </c>
      <c r="D324" s="10">
        <v>225278.73</v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ht="15.75" thickBot="1" x14ac:dyDescent="0.3">
      <c r="A349" s="4" t="str">
        <f>"APURACAO DE RESULTADOS"</f>
        <v>APURACAO DE RESULTADOS</v>
      </c>
      <c r="B349" s="5" t="str">
        <f>""</f>
        <v/>
      </c>
      <c r="C349" s="5" t="str">
        <f>""</f>
        <v/>
      </c>
      <c r="D349" s="5" t="str">
        <f>""</f>
        <v/>
      </c>
    </row>
    <row r="350" spans="1:4" x14ac:dyDescent="0.25">
      <c r="A350" t="s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8"/>
  <sheetViews>
    <sheetView workbookViewId="0">
      <selection activeCell="D1" sqref="D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13</v>
      </c>
      <c r="B1" s="1"/>
      <c r="C1" s="1"/>
      <c r="D1" s="1"/>
    </row>
    <row r="2" spans="1:4" ht="15.75" thickBot="1" x14ac:dyDescent="0.3">
      <c r="A2" s="8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48783287.939999998</v>
      </c>
      <c r="C4" s="10">
        <v>1909110.17</v>
      </c>
      <c r="D4" s="10">
        <v>50692398.109999999</v>
      </c>
    </row>
    <row r="5" spans="1:4" x14ac:dyDescent="0.25">
      <c r="A5" s="2" t="str">
        <f>"1.1.0.00.00- ATIVO CIRCULANTE"</f>
        <v>1.1.0.00.00- ATIVO CIRCULANTE</v>
      </c>
      <c r="B5" s="10">
        <v>25493950.890000001</v>
      </c>
      <c r="C5" s="10">
        <v>1902792.05</v>
      </c>
      <c r="D5" s="10">
        <v>27396742.940000001</v>
      </c>
    </row>
    <row r="6" spans="1:4" x14ac:dyDescent="0.25">
      <c r="A6" s="2" t="str">
        <f>"1.1.1.00.00- DISPONIVEL"</f>
        <v>1.1.1.00.00- DISPONIVEL</v>
      </c>
      <c r="B6" s="10">
        <v>13563349.130000001</v>
      </c>
      <c r="C6" s="10">
        <v>1547803.47</v>
      </c>
      <c r="D6" s="10">
        <v>15111152.6</v>
      </c>
    </row>
    <row r="7" spans="1:4" x14ac:dyDescent="0.25">
      <c r="A7" s="2" t="str">
        <f>"1.1.1.01.00- CAIXA GERAL"</f>
        <v>1.1.1.01.00- CAIXA GERAL</v>
      </c>
      <c r="B7" s="10">
        <v>1090</v>
      </c>
      <c r="C7" s="10">
        <v>639.99</v>
      </c>
      <c r="D7" s="10">
        <v>1729.99</v>
      </c>
    </row>
    <row r="8" spans="1:4" x14ac:dyDescent="0.25">
      <c r="A8" s="2" t="str">
        <f>"1.1.1.01.04- Caixa - Georf"</f>
        <v>1.1.1.01.04- Caixa - Georf</v>
      </c>
      <c r="B8" s="10">
        <v>0</v>
      </c>
      <c r="C8" s="10">
        <v>520</v>
      </c>
      <c r="D8" s="10">
        <v>520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-480.01</v>
      </c>
      <c r="D9" s="10">
        <v>-0.01</v>
      </c>
    </row>
    <row r="10" spans="1:4" x14ac:dyDescent="0.25">
      <c r="A10" s="2" t="str">
        <f>"1.1.1.01.09- Caixa - GEAMP"</f>
        <v>1.1.1.01.09- Caixa - GEAMP</v>
      </c>
      <c r="B10" s="10">
        <v>610</v>
      </c>
      <c r="C10" s="10">
        <v>600</v>
      </c>
      <c r="D10" s="10">
        <v>1210</v>
      </c>
    </row>
    <row r="11" spans="1:4" x14ac:dyDescent="0.25">
      <c r="A11" s="2" t="str">
        <f>"1.1.1.02.00- BANCOS C/MOVIMENTO"</f>
        <v>1.1.1.02.00- BANCOS C/MOVIMENTO</v>
      </c>
      <c r="B11" s="10">
        <v>330150.68</v>
      </c>
      <c r="C11" s="10">
        <v>-92947.22</v>
      </c>
      <c r="D11" s="10">
        <v>237203.46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2308.7399999999998</v>
      </c>
      <c r="C12" s="10">
        <v>-1897.1</v>
      </c>
      <c r="D12" s="10">
        <v>411.64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102596.48</v>
      </c>
      <c r="C13" s="10">
        <v>-74171.710000000006</v>
      </c>
      <c r="D13" s="10">
        <v>28424.77</v>
      </c>
    </row>
    <row r="14" spans="1:4" x14ac:dyDescent="0.25">
      <c r="A14" s="2" t="str">
        <f>"1.1.1.02.32- Caixa Econômica Federal - 3292-3 Leilão"</f>
        <v>1.1.1.02.32- Caixa Econômica Federal - 3292-3 Leilão</v>
      </c>
      <c r="B14" s="10">
        <v>80</v>
      </c>
      <c r="C14" s="10">
        <v>0</v>
      </c>
      <c r="D14" s="10">
        <v>80</v>
      </c>
    </row>
    <row r="15" spans="1:4" x14ac:dyDescent="0.25">
      <c r="A15" s="2" t="str">
        <f>"1.1.1.02.37- Caixa Econômica Federal - 3299-0Leilão16"</f>
        <v>1.1.1.02.37- Caixa Econômica Federal - 3299-0Leilão16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"1.1.1.02.39- Caixa Econômica Federal - 3301-6 Mídia"</f>
        <v>1.1.1.02.39- Caixa Econômica Federal - 3301-6 Mídia</v>
      </c>
      <c r="B16" s="10">
        <v>693.2</v>
      </c>
      <c r="C16" s="10">
        <v>3922.8</v>
      </c>
      <c r="D16" s="10">
        <v>4616</v>
      </c>
    </row>
    <row r="17" spans="1:4" x14ac:dyDescent="0.25">
      <c r="A17" s="2" t="str">
        <f>"1.1.1.02.41- Caixa Econômica Federal - 3303-2Rotativo"</f>
        <v>1.1.1.02.41- Caixa Econômica Federal - 3303-2Rotativo</v>
      </c>
      <c r="B17" s="10">
        <v>223558.26</v>
      </c>
      <c r="C17" s="10">
        <v>-21725.21</v>
      </c>
      <c r="D17" s="10">
        <v>201833.05</v>
      </c>
    </row>
    <row r="18" spans="1:4" x14ac:dyDescent="0.25">
      <c r="A18" s="2" t="str">
        <f>"1.1.1.02.46- Caixa Econômica Federal - 3309-1 Rot int"</f>
        <v>1.1.1.02.46- Caixa Econômica Federal - 3309-1 Rot int</v>
      </c>
      <c r="B18" s="10">
        <v>792</v>
      </c>
      <c r="C18" s="10">
        <v>924</v>
      </c>
      <c r="D18" s="10">
        <v>1716</v>
      </c>
    </row>
    <row r="19" spans="1:4" x14ac:dyDescent="0.25">
      <c r="A19" s="2" t="str">
        <f>"1.1.1.02.51- Caixa Econômica Federal -3501-9Leillão17"</f>
        <v>1.1.1.02.51- Caixa Econômica Federal -3501-9Leillão17</v>
      </c>
      <c r="B19" s="10">
        <v>42</v>
      </c>
      <c r="C19" s="10">
        <v>0</v>
      </c>
      <c r="D19" s="10">
        <v>42</v>
      </c>
    </row>
    <row r="20" spans="1:4" x14ac:dyDescent="0.25">
      <c r="A20" s="2" t="str">
        <f>"1.1.1.03.00- APLICACOES FINANCEIRAS"</f>
        <v>1.1.1.03.00- APLICACOES FINANCEIRAS</v>
      </c>
      <c r="B20" s="10">
        <v>11535874.029999999</v>
      </c>
      <c r="C20" s="10">
        <v>1937367.57</v>
      </c>
      <c r="D20" s="10">
        <v>13473241.6</v>
      </c>
    </row>
    <row r="21" spans="1:4" x14ac:dyDescent="0.25">
      <c r="A21" s="2" t="str">
        <f>"1.1.1.03.23- Caixa Econômica Federal - 3291-5"</f>
        <v>1.1.1.03.23- Caixa Econômica Federal - 3291-5</v>
      </c>
      <c r="B21" s="10">
        <v>10276285.32</v>
      </c>
      <c r="C21" s="10">
        <v>1933194.55</v>
      </c>
      <c r="D21" s="10">
        <v>12209479.869999999</v>
      </c>
    </row>
    <row r="22" spans="1:4" x14ac:dyDescent="0.25">
      <c r="A22" s="2" t="str">
        <f>"1.1.1.03.25- Caixa Econômica Federal - 3292-3 Leilão"</f>
        <v>1.1.1.03.25- Caixa Econômica Federal - 3292-3 Leilão</v>
      </c>
      <c r="B22" s="10">
        <v>74820.78</v>
      </c>
      <c r="C22" s="10">
        <v>323.83</v>
      </c>
      <c r="D22" s="10">
        <v>75144.61</v>
      </c>
    </row>
    <row r="23" spans="1:4" x14ac:dyDescent="0.25">
      <c r="A23" s="2" t="str">
        <f>"1.1.1.03.26- Caixa Econômica Federal - 3295-8Leilão13"</f>
        <v>1.1.1.03.26- Caixa Econômica Federal - 3295-8Leilão13</v>
      </c>
      <c r="B23" s="10">
        <v>204909.4</v>
      </c>
      <c r="C23" s="10">
        <v>886.89</v>
      </c>
      <c r="D23" s="10">
        <v>205796.29</v>
      </c>
    </row>
    <row r="24" spans="1:4" x14ac:dyDescent="0.25">
      <c r="A24" s="2" t="str">
        <f>"1.1.1.03.29- Caixa Econômica Federal - 3298-2Leilão15"</f>
        <v>1.1.1.03.29- Caixa Econômica Federal - 3298-2Leilão15</v>
      </c>
      <c r="B24" s="10">
        <v>101963.96</v>
      </c>
      <c r="C24" s="10">
        <v>371.91</v>
      </c>
      <c r="D24" s="10">
        <v>102335.87</v>
      </c>
    </row>
    <row r="25" spans="1:4" x14ac:dyDescent="0.25">
      <c r="A25" s="2" t="str">
        <f>"1.1.1.03.30- Caixa Econômica Federal - 3299-0Leilão16"</f>
        <v>1.1.1.03.30- Caixa Econômica Federal - 3299-0Leilão16</v>
      </c>
      <c r="B25" s="10">
        <v>128887.52</v>
      </c>
      <c r="C25" s="10">
        <v>557.85</v>
      </c>
      <c r="D25" s="10">
        <v>129445.37</v>
      </c>
    </row>
    <row r="26" spans="1:4" x14ac:dyDescent="0.25">
      <c r="A26" s="2" t="str">
        <f>"1.1.1.03.31- Caixa Econômica Federal - 3300-8Leilão16"</f>
        <v>1.1.1.03.31- Caixa Econômica Federal - 3300-8Leilão16</v>
      </c>
      <c r="B26" s="10">
        <v>46068.79</v>
      </c>
      <c r="C26" s="10">
        <v>168.03</v>
      </c>
      <c r="D26" s="10">
        <v>46236.82</v>
      </c>
    </row>
    <row r="27" spans="1:4" x14ac:dyDescent="0.25">
      <c r="A27" s="2" t="str">
        <f>"1.1.1.03.32- Caixa Econômica - 3301-6 Mídia"</f>
        <v>1.1.1.03.32- Caixa Econômica - 3301-6 Mídia</v>
      </c>
      <c r="B27" s="10">
        <v>85254.31</v>
      </c>
      <c r="C27" s="10">
        <v>695.21</v>
      </c>
      <c r="D27" s="10">
        <v>85949.52</v>
      </c>
    </row>
    <row r="28" spans="1:4" x14ac:dyDescent="0.25">
      <c r="A28" s="2" t="str">
        <f>"1.1.1.03.35- Caixa Econômica - 3304-0Caução"</f>
        <v>1.1.1.03.35- Caixa Econômica - 3304-0Caução</v>
      </c>
      <c r="B28" s="10">
        <v>217927.61</v>
      </c>
      <c r="C28" s="10">
        <v>823.51</v>
      </c>
      <c r="D28" s="10">
        <v>218751.12</v>
      </c>
    </row>
    <row r="29" spans="1:4" x14ac:dyDescent="0.25">
      <c r="A29" s="2" t="str">
        <f>"1.1.1.03.36- Caixa Econômica - 3305-9Sucumb."</f>
        <v>1.1.1.03.36- Caixa Econômica - 3305-9Sucumb.</v>
      </c>
      <c r="B29" s="10">
        <v>9544.5400000000009</v>
      </c>
      <c r="C29" s="10">
        <v>33.17</v>
      </c>
      <c r="D29" s="10">
        <v>9577.7099999999991</v>
      </c>
    </row>
    <row r="30" spans="1:4" x14ac:dyDescent="0.25">
      <c r="A30" s="2" t="str">
        <f>"1.1.1.03.38- Caixa Econômica - 3308-3Leilão"</f>
        <v>1.1.1.03.38- Caixa Econômica - 3308-3Leilão</v>
      </c>
      <c r="B30" s="10">
        <v>2200.19</v>
      </c>
      <c r="C30" s="10">
        <v>7.65</v>
      </c>
      <c r="D30" s="10">
        <v>2207.84</v>
      </c>
    </row>
    <row r="31" spans="1:4" x14ac:dyDescent="0.25">
      <c r="A31" s="2" t="str">
        <f>"1.1.1.03.41- Caixa Econômica - 531-0 Aci moto poupanç"</f>
        <v>1.1.1.03.41- Caixa Econômica - 531-0 Aci moto poupanç</v>
      </c>
      <c r="B31" s="10">
        <v>603.29999999999995</v>
      </c>
      <c r="C31" s="10">
        <v>-603.28</v>
      </c>
      <c r="D31" s="10">
        <v>0.02</v>
      </c>
    </row>
    <row r="32" spans="1:4" x14ac:dyDescent="0.25">
      <c r="A32" s="2" t="str">
        <f>"1.1.1.03.42- Caixa Econômica - 532-9 Acid Ped Poupanç"</f>
        <v>1.1.1.03.42- Caixa Econômica - 532-9 Acid Ped Poupanç</v>
      </c>
      <c r="B32" s="10">
        <v>86997.05</v>
      </c>
      <c r="C32" s="10">
        <v>0</v>
      </c>
      <c r="D32" s="10">
        <v>86997.05</v>
      </c>
    </row>
    <row r="33" spans="1:4" x14ac:dyDescent="0.25">
      <c r="A33" s="2" t="str">
        <f>"1.1.1.03.43- Caixa Econômica - 534-5 Codemig Poupança"</f>
        <v>1.1.1.03.43- Caixa Econômica - 534-5 Codemig Poupança</v>
      </c>
      <c r="B33" s="10">
        <v>26176.38</v>
      </c>
      <c r="C33" s="10">
        <v>0</v>
      </c>
      <c r="D33" s="10">
        <v>26176.38</v>
      </c>
    </row>
    <row r="34" spans="1:4" x14ac:dyDescent="0.25">
      <c r="A34" s="2" t="str">
        <f>"1.1.1.03.44- Caixa Econômica - 535-3 Turblog Poupança"</f>
        <v>1.1.1.03.44- Caixa Econômica - 535-3 Turblog Poupança</v>
      </c>
      <c r="B34" s="10">
        <v>64391.23</v>
      </c>
      <c r="C34" s="10">
        <v>0</v>
      </c>
      <c r="D34" s="10">
        <v>64391.23</v>
      </c>
    </row>
    <row r="35" spans="1:4" x14ac:dyDescent="0.25">
      <c r="A35" s="2" t="str">
        <f>"1.1.1.03.45- Caixa Econômica Federal - 3393-8Leilão17"</f>
        <v>1.1.1.03.45- Caixa Econômica Federal - 3393-8Leilão17</v>
      </c>
      <c r="B35" s="10">
        <v>114362.67</v>
      </c>
      <c r="C35" s="10">
        <v>494.99</v>
      </c>
      <c r="D35" s="10">
        <v>114857.66</v>
      </c>
    </row>
    <row r="36" spans="1:4" x14ac:dyDescent="0.25">
      <c r="A36" s="2" t="str">
        <f>"1.1.1.03.46- Caixa Econômica Federal -3501-9Leillão17"</f>
        <v>1.1.1.03.46- Caixa Econômica Federal -3501-9Leillão17</v>
      </c>
      <c r="B36" s="10">
        <v>95480.98</v>
      </c>
      <c r="C36" s="10">
        <v>413.26</v>
      </c>
      <c r="D36" s="10">
        <v>95894.24</v>
      </c>
    </row>
    <row r="37" spans="1:4" x14ac:dyDescent="0.25">
      <c r="A37" s="2" t="str">
        <f>"1.1.1.04.00- BANCOS C/VINCULADA-PAMEH"</f>
        <v>1.1.1.04.00- BANCOS C/VINCULADA-PAMEH</v>
      </c>
      <c r="B37" s="10">
        <v>1696234.42</v>
      </c>
      <c r="C37" s="10">
        <v>-297256.87</v>
      </c>
      <c r="D37" s="10">
        <v>1398977.55</v>
      </c>
    </row>
    <row r="38" spans="1:4" x14ac:dyDescent="0.25">
      <c r="A38" s="2" t="str">
        <f>"1.1.1.04.07- Caixa Econômica Federal - 3294-0"</f>
        <v>1.1.1.04.07- Caixa Econômica Federal - 3294-0</v>
      </c>
      <c r="B38" s="10">
        <v>2678.03</v>
      </c>
      <c r="C38" s="10">
        <v>-2305.87</v>
      </c>
      <c r="D38" s="10">
        <v>372.16</v>
      </c>
    </row>
    <row r="39" spans="1:4" x14ac:dyDescent="0.25">
      <c r="A39" s="2" t="str">
        <f>"1.1.1.04.08- Caixa Econômica Federal - 3294-0 Aplic."</f>
        <v>1.1.1.04.08- Caixa Econômica Federal - 3294-0 Aplic.</v>
      </c>
      <c r="B39" s="10">
        <v>1693556.39</v>
      </c>
      <c r="C39" s="10">
        <v>-294951</v>
      </c>
      <c r="D39" s="10">
        <v>1398605.39</v>
      </c>
    </row>
    <row r="40" spans="1:4" x14ac:dyDescent="0.25">
      <c r="A40" s="2" t="str">
        <f>"1.1.2.00.00- REALIZAVEL A CURTO PRAZO"</f>
        <v>1.1.2.00.00- REALIZAVEL A CURTO PRAZO</v>
      </c>
      <c r="B40" s="10">
        <v>11930601.76</v>
      </c>
      <c r="C40" s="10">
        <v>354988.58</v>
      </c>
      <c r="D40" s="10">
        <v>12285590.34</v>
      </c>
    </row>
    <row r="41" spans="1:4" x14ac:dyDescent="0.25">
      <c r="A41" s="2" t="str">
        <f>"1.1.2.01.00- CONTAS A RECEBER"</f>
        <v>1.1.2.01.00- CONTAS A RECEBER</v>
      </c>
      <c r="B41" s="10">
        <v>6361419.3799999999</v>
      </c>
      <c r="C41" s="10">
        <v>452197.82</v>
      </c>
      <c r="D41" s="10">
        <v>6813617.2000000002</v>
      </c>
    </row>
    <row r="42" spans="1:4" x14ac:dyDescent="0.25">
      <c r="A42" s="2" t="str">
        <f>"1.1.2.01.89- Multas Transporte Coletivo"</f>
        <v>1.1.2.01.89- Multas Transporte Coletivo</v>
      </c>
      <c r="B42" s="10">
        <v>7759125.9000000004</v>
      </c>
      <c r="C42" s="10">
        <v>535943.44999999995</v>
      </c>
      <c r="D42" s="10">
        <v>8295069.3499999996</v>
      </c>
    </row>
    <row r="43" spans="1:4" x14ac:dyDescent="0.25">
      <c r="A43" s="2" t="str">
        <f>"1.1.2.01.93- Estacionamento Rotativo a Receber"</f>
        <v>1.1.2.01.93- Estacionamento Rotativo a Receber</v>
      </c>
      <c r="B43" s="10">
        <v>4364.2</v>
      </c>
      <c r="C43" s="10">
        <v>-2043.59</v>
      </c>
      <c r="D43" s="10">
        <v>2320.61</v>
      </c>
    </row>
    <row r="44" spans="1:4" x14ac:dyDescent="0.25">
      <c r="A44" s="2" t="str">
        <f>"1.1.2.01.94- Midia Onibus a Receber"</f>
        <v>1.1.2.01.94- Midia Onibus a Receber</v>
      </c>
      <c r="B44" s="10">
        <v>253567.34</v>
      </c>
      <c r="C44" s="10">
        <v>0</v>
      </c>
      <c r="D44" s="10">
        <v>253567.34</v>
      </c>
    </row>
    <row r="45" spans="1:4" x14ac:dyDescent="0.25">
      <c r="A45" s="2" t="str">
        <f>"1.1.2.01.98- Outras contas a receber"</f>
        <v>1.1.2.01.98- Outras contas a receber</v>
      </c>
      <c r="B45" s="10">
        <v>45875.97</v>
      </c>
      <c r="C45" s="10">
        <v>25486.65</v>
      </c>
      <c r="D45" s="10">
        <v>71362.62</v>
      </c>
    </row>
    <row r="46" spans="1:4" x14ac:dyDescent="0.25">
      <c r="A46" s="2" t="str">
        <f>"1.1.2.01.99- (-) Provisao para Perdas"</f>
        <v>1.1.2.01.99- (-) Provisao para Perdas</v>
      </c>
      <c r="B46" s="10">
        <v>-1701514.03</v>
      </c>
      <c r="C46" s="10">
        <v>-107188.69</v>
      </c>
      <c r="D46" s="10">
        <v>-1808702.72</v>
      </c>
    </row>
    <row r="47" spans="1:4" x14ac:dyDescent="0.25">
      <c r="A47" s="2" t="str">
        <f>"1.1.2.06.00- ADIANTAMENTO A EMPREGADOS"</f>
        <v>1.1.2.06.00- ADIANTAMENTO A EMPREGADOS</v>
      </c>
      <c r="B47" s="10">
        <v>3542311.95</v>
      </c>
      <c r="C47" s="10">
        <v>-95659.25</v>
      </c>
      <c r="D47" s="10">
        <v>3446652.7</v>
      </c>
    </row>
    <row r="48" spans="1:4" x14ac:dyDescent="0.25">
      <c r="A48" s="2" t="str">
        <f>"1.1.2.06.01- Adiantamento de Ferias"</f>
        <v>1.1.2.06.01- Adiantamento de Ferias</v>
      </c>
      <c r="B48" s="10">
        <v>643631.39</v>
      </c>
      <c r="C48" s="10">
        <v>-74228.460000000006</v>
      </c>
      <c r="D48" s="10">
        <v>569402.93000000005</v>
      </c>
    </row>
    <row r="49" spans="1:4" x14ac:dyDescent="0.25">
      <c r="A49" s="2" t="str">
        <f>"1.1.2.06.02- Adiantamento de 13. Salario"</f>
        <v>1.1.2.06.02- Adiantamento de 13. Salario</v>
      </c>
      <c r="B49" s="10">
        <v>2555325.4</v>
      </c>
      <c r="C49" s="10">
        <v>3727.13</v>
      </c>
      <c r="D49" s="10">
        <v>2559052.5299999998</v>
      </c>
    </row>
    <row r="50" spans="1:4" x14ac:dyDescent="0.25">
      <c r="A50" s="2" t="str">
        <f>"1.1.2.06.03- Adiant. de Salario/Parc. Ferias"</f>
        <v>1.1.2.06.03- Adiant. de Salario/Parc. Ferias</v>
      </c>
      <c r="B50" s="10">
        <v>175956.47</v>
      </c>
      <c r="C50" s="10">
        <v>-24451.57</v>
      </c>
      <c r="D50" s="10">
        <v>151504.9</v>
      </c>
    </row>
    <row r="51" spans="1:4" x14ac:dyDescent="0.25">
      <c r="A51" s="2" t="str">
        <f>"1.1.2.06.07- Adiantamento Pensao s/ Ferias"</f>
        <v>1.1.2.06.07- Adiantamento Pensao s/ Ferias</v>
      </c>
      <c r="B51" s="10">
        <v>167398.69</v>
      </c>
      <c r="C51" s="10">
        <v>-706.35</v>
      </c>
      <c r="D51" s="10">
        <v>166692.34</v>
      </c>
    </row>
    <row r="52" spans="1:4" x14ac:dyDescent="0.25">
      <c r="A52" s="2" t="str">
        <f>"1.1.2.08.00- ALMOXARIFADO"</f>
        <v>1.1.2.08.00- ALMOXARIFADO</v>
      </c>
      <c r="B52" s="10">
        <v>369002.15</v>
      </c>
      <c r="C52" s="10">
        <v>24410.81</v>
      </c>
      <c r="D52" s="10">
        <v>393412.96</v>
      </c>
    </row>
    <row r="53" spans="1:4" x14ac:dyDescent="0.25">
      <c r="A53" s="2" t="str">
        <f>"1.1.2.08.01- Material em Estoque"</f>
        <v>1.1.2.08.01- Material em Estoque</v>
      </c>
      <c r="B53" s="10">
        <v>369002.15</v>
      </c>
      <c r="C53" s="10">
        <v>24410.81</v>
      </c>
      <c r="D53" s="10">
        <v>393412.96</v>
      </c>
    </row>
    <row r="54" spans="1:4" x14ac:dyDescent="0.25">
      <c r="A54" s="2" t="str">
        <f>"1.1.2.10.00- IMPOSTOS E CONTRIB.A RECUPERAR"</f>
        <v>1.1.2.10.00- IMPOSTOS E CONTRIB.A RECUPERAR</v>
      </c>
      <c r="B54" s="10">
        <v>552958</v>
      </c>
      <c r="C54" s="10">
        <v>858.67</v>
      </c>
      <c r="D54" s="10">
        <v>553816.67000000004</v>
      </c>
    </row>
    <row r="55" spans="1:4" x14ac:dyDescent="0.25">
      <c r="A55" s="2" t="str">
        <f>"1.1.2.10.01- IR s/Aplicacao Financeira"</f>
        <v>1.1.2.10.01- IR s/Aplicacao Financeira</v>
      </c>
      <c r="B55" s="10">
        <v>435523.36</v>
      </c>
      <c r="C55" s="10">
        <v>808.57</v>
      </c>
      <c r="D55" s="10">
        <v>436331.93</v>
      </c>
    </row>
    <row r="56" spans="1:4" x14ac:dyDescent="0.25">
      <c r="A56" s="2" t="str">
        <f>"1.1.2.10.08- IRRF a Compensar"</f>
        <v>1.1.2.10.08- IRRF a Compensar</v>
      </c>
      <c r="B56" s="10">
        <v>1454.99</v>
      </c>
      <c r="C56" s="10">
        <v>0</v>
      </c>
      <c r="D56" s="10">
        <v>1454.99</v>
      </c>
    </row>
    <row r="57" spans="1:4" x14ac:dyDescent="0.25">
      <c r="A57" s="2" t="str">
        <f>"1.1.2.10.15- Cofins a Compensar"</f>
        <v>1.1.2.10.15- Cofins a Compensar</v>
      </c>
      <c r="B57" s="10">
        <v>0.06</v>
      </c>
      <c r="C57" s="10">
        <v>0.01</v>
      </c>
      <c r="D57" s="10">
        <v>7.0000000000000007E-2</v>
      </c>
    </row>
    <row r="58" spans="1:4" x14ac:dyDescent="0.25">
      <c r="A58" s="2" t="str">
        <f>"1.1.2.10.16- PIS a Compensar"</f>
        <v>1.1.2.10.16- PIS a Compensar</v>
      </c>
      <c r="B58" s="10">
        <v>-0.01</v>
      </c>
      <c r="C58" s="10">
        <v>-0.01</v>
      </c>
      <c r="D58" s="10">
        <v>-0.02</v>
      </c>
    </row>
    <row r="59" spans="1:4" x14ac:dyDescent="0.25">
      <c r="A59" s="2" t="str">
        <f>"1.1.2.10.20- V.M.A PIS a Recuperar"</f>
        <v>1.1.2.10.20- V.M.A PIS a Recuperar</v>
      </c>
      <c r="B59" s="10">
        <v>1626.85</v>
      </c>
      <c r="C59" s="10">
        <v>27.43</v>
      </c>
      <c r="D59" s="10">
        <v>1654.28</v>
      </c>
    </row>
    <row r="60" spans="1:4" x14ac:dyDescent="0.25">
      <c r="A60" s="2" t="str">
        <f>"1.1.2.10.21- V.M.A IRRF a Compensar"</f>
        <v>1.1.2.10.21- V.M.A IRRF a Compensar</v>
      </c>
      <c r="B60" s="10">
        <v>541.42999999999995</v>
      </c>
      <c r="C60" s="10">
        <v>6.84</v>
      </c>
      <c r="D60" s="10">
        <v>548.27</v>
      </c>
    </row>
    <row r="61" spans="1:4" x14ac:dyDescent="0.25">
      <c r="A61" s="2" t="str">
        <f>"1.1.2.10.22- V.M.A COFINS a Compensar"</f>
        <v>1.1.2.10.22- V.M.A COFINS a Compensar</v>
      </c>
      <c r="B61" s="10">
        <v>5547.55</v>
      </c>
      <c r="C61" s="10">
        <v>15.83</v>
      </c>
      <c r="D61" s="10">
        <v>5563.38</v>
      </c>
    </row>
    <row r="62" spans="1:4" x14ac:dyDescent="0.25">
      <c r="A62" s="2" t="str">
        <f>"1.1.2.10.25- INSS a recuperar segurados"</f>
        <v>1.1.2.10.25- INSS a recuperar segurados</v>
      </c>
      <c r="B62" s="10">
        <v>108263.77</v>
      </c>
      <c r="C62" s="10">
        <v>0</v>
      </c>
      <c r="D62" s="10">
        <v>108263.77</v>
      </c>
    </row>
    <row r="63" spans="1:4" x14ac:dyDescent="0.25">
      <c r="A63" s="2" t="str">
        <f>"1.1.2.11.00- DESPESAS ANTECIPADAS"</f>
        <v>1.1.2.11.00- DESPESAS ANTECIPADAS</v>
      </c>
      <c r="B63" s="10">
        <v>2847.87</v>
      </c>
      <c r="C63" s="10">
        <v>784.8</v>
      </c>
      <c r="D63" s="10">
        <v>3632.67</v>
      </c>
    </row>
    <row r="64" spans="1:4" x14ac:dyDescent="0.25">
      <c r="A64" s="2" t="str">
        <f>"1.1.2.11.01- Premios de Seguros a Vencer"</f>
        <v>1.1.2.11.01- Premios de Seguros a Vencer</v>
      </c>
      <c r="B64" s="10">
        <v>2847.87</v>
      </c>
      <c r="C64" s="10">
        <v>784.8</v>
      </c>
      <c r="D64" s="10">
        <v>3632.67</v>
      </c>
    </row>
    <row r="65" spans="1:4" x14ac:dyDescent="0.25">
      <c r="A65" s="2" t="str">
        <f>"1.1.2.12.00- VALORES VINC.A RECEBER-PAMEH"</f>
        <v>1.1.2.12.00- VALORES VINC.A RECEBER-PAMEH</v>
      </c>
      <c r="B65" s="10">
        <v>767264.34</v>
      </c>
      <c r="C65" s="10">
        <v>-2906.1</v>
      </c>
      <c r="D65" s="10">
        <v>764358.24</v>
      </c>
    </row>
    <row r="66" spans="1:4" x14ac:dyDescent="0.25">
      <c r="A66" s="2" t="str">
        <f>"1.1.2.12.01- Valores Vinculados-PAMEH"</f>
        <v>1.1.2.12.01- Valores Vinculados-PAMEH</v>
      </c>
      <c r="B66" s="10">
        <v>767264.34</v>
      </c>
      <c r="C66" s="10">
        <v>-2906.1</v>
      </c>
      <c r="D66" s="10">
        <v>764358.24</v>
      </c>
    </row>
    <row r="67" spans="1:4" x14ac:dyDescent="0.25">
      <c r="A67" s="2" t="str">
        <f>"1.1.2.14.00- CONTAS TRANSITORIAS - GRUPO ATIVO"</f>
        <v>1.1.2.14.00- CONTAS TRANSITORIAS - GRUPO ATIVO</v>
      </c>
      <c r="B67" s="10">
        <v>230471.35</v>
      </c>
      <c r="C67" s="10">
        <v>-8326.7800000000007</v>
      </c>
      <c r="D67" s="10">
        <v>222144.57</v>
      </c>
    </row>
    <row r="68" spans="1:4" x14ac:dyDescent="0.25">
      <c r="A68" s="2" t="str">
        <f>"1.1.2.14.05- Transitoria Folha de Pagamento"</f>
        <v>1.1.2.14.05- Transitoria Folha de Pagamento</v>
      </c>
      <c r="B68" s="10">
        <v>230471.35</v>
      </c>
      <c r="C68" s="10">
        <v>-8326.7800000000007</v>
      </c>
      <c r="D68" s="10">
        <v>222144.57</v>
      </c>
    </row>
    <row r="69" spans="1:4" x14ac:dyDescent="0.25">
      <c r="A69" s="2" t="str">
        <f>"1.1.2.15.00- CARNE ESTACIONAMENTO ROTATIVO"</f>
        <v>1.1.2.15.00- CARNE ESTACIONAMENTO ROTATIVO</v>
      </c>
      <c r="B69" s="10">
        <v>104326.72</v>
      </c>
      <c r="C69" s="10">
        <v>-16371.39</v>
      </c>
      <c r="D69" s="10">
        <v>87955.33</v>
      </c>
    </row>
    <row r="70" spans="1:4" x14ac:dyDescent="0.25">
      <c r="A70" s="2" t="str">
        <f>"1.1.2.15.01- Carne Rotativo"</f>
        <v>1.1.2.15.01- Carne Rotativo</v>
      </c>
      <c r="B70" s="10">
        <v>104326.72</v>
      </c>
      <c r="C70" s="10">
        <v>-16371.39</v>
      </c>
      <c r="D70" s="10">
        <v>87955.33</v>
      </c>
    </row>
    <row r="71" spans="1:4" x14ac:dyDescent="0.25">
      <c r="A71" s="2" t="str">
        <f>"1.2.0.00.00- ATIVO NAO CIRCULANTE"</f>
        <v>1.2.0.00.00- ATIVO NAO CIRCULANTE</v>
      </c>
      <c r="B71" s="10">
        <v>23289337.050000001</v>
      </c>
      <c r="C71" s="10">
        <v>6318.12</v>
      </c>
      <c r="D71" s="10">
        <v>23295655.170000002</v>
      </c>
    </row>
    <row r="72" spans="1:4" x14ac:dyDescent="0.25">
      <c r="A72" s="2" t="str">
        <f>"1.2.1.00.00- REALIZAVEL A LONGO PRAZO"</f>
        <v>1.2.1.00.00- REALIZAVEL A LONGO PRAZO</v>
      </c>
      <c r="B72" s="10">
        <v>21333590.809999999</v>
      </c>
      <c r="C72" s="10">
        <v>21057.55</v>
      </c>
      <c r="D72" s="10">
        <v>21354648.359999999</v>
      </c>
    </row>
    <row r="73" spans="1:4" x14ac:dyDescent="0.25">
      <c r="A73" s="2" t="str">
        <f>"1.2.1.01.00- CREDITOS E VALORES A RECEBER"</f>
        <v>1.2.1.01.00- CREDITOS E VALORES A RECEBER</v>
      </c>
      <c r="B73" s="10">
        <v>21333590.809999999</v>
      </c>
      <c r="C73" s="10">
        <v>21057.55</v>
      </c>
      <c r="D73" s="10">
        <v>21354648.359999999</v>
      </c>
    </row>
    <row r="74" spans="1:4" x14ac:dyDescent="0.25">
      <c r="A74" s="2" t="str">
        <f>"1.2.1.01.01- Depositos Judiciais"</f>
        <v>1.2.1.01.01- Depositos Judiciais</v>
      </c>
      <c r="B74" s="10">
        <v>8818135.8300000001</v>
      </c>
      <c r="C74" s="10">
        <v>21057.55</v>
      </c>
      <c r="D74" s="10">
        <v>8839193.3800000008</v>
      </c>
    </row>
    <row r="75" spans="1:4" x14ac:dyDescent="0.25">
      <c r="A75" s="2" t="str">
        <f>"1.2.1.01.03- Depositos Judiciais de Terceiros"</f>
        <v>1.2.1.01.03- Depositos Judiciais de Terceiros</v>
      </c>
      <c r="B75" s="10">
        <v>925087.39</v>
      </c>
      <c r="C75" s="10">
        <v>0</v>
      </c>
      <c r="D75" s="10">
        <v>925087.39</v>
      </c>
    </row>
    <row r="76" spans="1:4" x14ac:dyDescent="0.25">
      <c r="A76" s="2" t="str">
        <f>"1.2.1.01.04- Convenio Prefeitura Betim"</f>
        <v>1.2.1.01.04- Convenio Prefeitura Betim</v>
      </c>
      <c r="B76" s="10">
        <v>891.18</v>
      </c>
      <c r="C76" s="10">
        <v>0</v>
      </c>
      <c r="D76" s="10">
        <v>891.18</v>
      </c>
    </row>
    <row r="77" spans="1:4" x14ac:dyDescent="0.25">
      <c r="A77" s="2" t="str">
        <f>"1.2.1.01.05- Convenio IPSEMG"</f>
        <v>1.2.1.01.05- Convenio IPSEMG</v>
      </c>
      <c r="B77" s="10">
        <v>21163.53</v>
      </c>
      <c r="C77" s="10">
        <v>0</v>
      </c>
      <c r="D77" s="10">
        <v>21163.53</v>
      </c>
    </row>
    <row r="78" spans="1:4" x14ac:dyDescent="0.25">
      <c r="A78" s="2" t="str">
        <f>"1.2.1.01.06- Multas Transporte Coletivo"</f>
        <v>1.2.1.01.06- Multas Transporte Coletivo</v>
      </c>
      <c r="B78" s="10">
        <v>12853680.960000001</v>
      </c>
      <c r="C78" s="10">
        <v>0</v>
      </c>
      <c r="D78" s="10">
        <v>12853680.960000001</v>
      </c>
    </row>
    <row r="79" spans="1:4" x14ac:dyDescent="0.25">
      <c r="A79" s="2" t="str">
        <f>"1.2.1.01.07- (-) Provisao para Perdas"</f>
        <v>1.2.1.01.07- (-) Provisao para Perdas</v>
      </c>
      <c r="B79" s="10">
        <v>-1285368.08</v>
      </c>
      <c r="C79" s="10">
        <v>0</v>
      </c>
      <c r="D79" s="10">
        <v>-1285368.08</v>
      </c>
    </row>
    <row r="80" spans="1:4" x14ac:dyDescent="0.25">
      <c r="A80" s="2" t="str">
        <f>"1.3.1.00.00- INVESTIMENTOS"</f>
        <v>1.3.1.00.00- INVESTIMENTOS</v>
      </c>
      <c r="B80" s="10">
        <v>26070</v>
      </c>
      <c r="C80" s="10">
        <v>0</v>
      </c>
      <c r="D80" s="10">
        <v>26070</v>
      </c>
    </row>
    <row r="81" spans="1:4" x14ac:dyDescent="0.25">
      <c r="A81" s="2" t="str">
        <f>"1.3.1.01.00- OUTROS INVESTIMENTOS"</f>
        <v>1.3.1.01.00- OUTROS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"1.3.1.01.01- Obras de Arte"</f>
        <v>1.3.1.01.01- Obras de Arte</v>
      </c>
      <c r="B82" s="10">
        <v>25200</v>
      </c>
      <c r="C82" s="10">
        <v>0</v>
      </c>
      <c r="D82" s="10">
        <v>25200</v>
      </c>
    </row>
    <row r="83" spans="1:4" x14ac:dyDescent="0.25">
      <c r="A83" s="2" t="str">
        <f>"1.3.1.01.02- Participações Societárias - PBH ATIVOS"</f>
        <v>1.3.1.01.02- Participações Societárias - PBH ATIVOS</v>
      </c>
      <c r="B83" s="10">
        <v>870</v>
      </c>
      <c r="C83" s="10">
        <v>0</v>
      </c>
      <c r="D83" s="10">
        <v>870</v>
      </c>
    </row>
    <row r="84" spans="1:4" x14ac:dyDescent="0.25">
      <c r="A84" s="2" t="str">
        <f>"1.3.2.00.00- IMOBILIZADO"</f>
        <v>1.3.2.00.00- IMOBILIZADO</v>
      </c>
      <c r="B84" s="10">
        <v>7772920.4299999997</v>
      </c>
      <c r="C84" s="10">
        <v>6074</v>
      </c>
      <c r="D84" s="10">
        <v>7778994.4299999997</v>
      </c>
    </row>
    <row r="85" spans="1:4" x14ac:dyDescent="0.25">
      <c r="A85" s="2" t="str">
        <f>"1.3.2.01.01- Maquinas e equipamentos"</f>
        <v>1.3.2.01.01- Maquinas e equipamentos</v>
      </c>
      <c r="B85" s="10">
        <v>243172.08</v>
      </c>
      <c r="C85" s="10">
        <v>0</v>
      </c>
      <c r="D85" s="10">
        <v>243172.08</v>
      </c>
    </row>
    <row r="86" spans="1:4" x14ac:dyDescent="0.25">
      <c r="A86" s="2" t="str">
        <f>"1.3.2.02.01- Ferramentas"</f>
        <v>1.3.2.02.01- Ferramentas</v>
      </c>
      <c r="B86" s="10">
        <v>9104.81</v>
      </c>
      <c r="C86" s="10">
        <v>0</v>
      </c>
      <c r="D86" s="10">
        <v>9104.81</v>
      </c>
    </row>
    <row r="87" spans="1:4" x14ac:dyDescent="0.25">
      <c r="A87" s="2" t="str">
        <f>"1.3.2.03.01- Equipamentos de comunicacao"</f>
        <v>1.3.2.03.01- Equipamentos de comunicacao</v>
      </c>
      <c r="B87" s="10">
        <v>172167.01</v>
      </c>
      <c r="C87" s="10">
        <v>0</v>
      </c>
      <c r="D87" s="10">
        <v>172167.01</v>
      </c>
    </row>
    <row r="88" spans="1:4" x14ac:dyDescent="0.25">
      <c r="A88" s="2" t="str">
        <f>"1.3.2.04.01- Instalacoes"</f>
        <v>1.3.2.04.01- Instalacoes</v>
      </c>
      <c r="B88" s="10">
        <v>85222.9</v>
      </c>
      <c r="C88" s="10">
        <v>0</v>
      </c>
      <c r="D88" s="10">
        <v>85222.9</v>
      </c>
    </row>
    <row r="89" spans="1:4" x14ac:dyDescent="0.25">
      <c r="A89" s="2" t="str">
        <f>"1.3.2.06.01- Moveis e utensilios"</f>
        <v>1.3.2.06.01- Moveis e utensilios</v>
      </c>
      <c r="B89" s="10">
        <v>541731.43999999994</v>
      </c>
      <c r="C89" s="10">
        <v>0</v>
      </c>
      <c r="D89" s="10">
        <v>541731.43999999994</v>
      </c>
    </row>
    <row r="90" spans="1:4" x14ac:dyDescent="0.25">
      <c r="A90" s="2" t="str">
        <f>"1.3.2.08.01- Instalacoes administrativas"</f>
        <v>1.3.2.08.01- Instalacoes administrativas</v>
      </c>
      <c r="B90" s="10">
        <v>99146.34</v>
      </c>
      <c r="C90" s="10">
        <v>0</v>
      </c>
      <c r="D90" s="10">
        <v>99146.34</v>
      </c>
    </row>
    <row r="91" spans="1:4" x14ac:dyDescent="0.25">
      <c r="A91" s="2" t="str">
        <f>"1.3.2.09.01- Aparelhos/equipamentos diversos"</f>
        <v>1.3.2.09.01- Aparelhos/equipamentos diversos</v>
      </c>
      <c r="B91" s="10">
        <v>653084.13</v>
      </c>
      <c r="C91" s="10">
        <v>6074</v>
      </c>
      <c r="D91" s="10">
        <v>659158.13</v>
      </c>
    </row>
    <row r="92" spans="1:4" x14ac:dyDescent="0.25">
      <c r="A92" s="2" t="str">
        <f>"1.3.2.10.01- Equip. p/ processamento de dados"</f>
        <v>1.3.2.10.01- Equip. p/ processamento de dados</v>
      </c>
      <c r="B92" s="10">
        <v>1550246.6</v>
      </c>
      <c r="C92" s="10">
        <v>0</v>
      </c>
      <c r="D92" s="10">
        <v>1550246.6</v>
      </c>
    </row>
    <row r="93" spans="1:4" x14ac:dyDescent="0.25">
      <c r="A93" s="2" t="str">
        <f>"1.3.2.12.01- Micros/impressoras e acessorios"</f>
        <v>1.3.2.12.01- Micros/impressoras e acessorios</v>
      </c>
      <c r="B93" s="10">
        <v>2745120.68</v>
      </c>
      <c r="C93" s="10">
        <v>0</v>
      </c>
      <c r="D93" s="10">
        <v>2745120.68</v>
      </c>
    </row>
    <row r="94" spans="1:4" x14ac:dyDescent="0.25">
      <c r="A94" s="2" t="str">
        <f>"1.3.2.13.01- Imobilizacao em imoveis de terceiros"</f>
        <v>1.3.2.13.01- Imobilizacao em imoveis de terceiros</v>
      </c>
      <c r="B94" s="10">
        <v>511539.98</v>
      </c>
      <c r="C94" s="10">
        <v>0</v>
      </c>
      <c r="D94" s="10">
        <v>511539.98</v>
      </c>
    </row>
    <row r="95" spans="1:4" x14ac:dyDescent="0.25">
      <c r="A95" s="2" t="str">
        <f>"1.3.2.14.01- Estacao Diamante"</f>
        <v>1.3.2.14.01- Estacao Diamante</v>
      </c>
      <c r="B95" s="10">
        <v>1162384.46</v>
      </c>
      <c r="C95" s="10">
        <v>0</v>
      </c>
      <c r="D95" s="10">
        <v>1162384.46</v>
      </c>
    </row>
    <row r="96" spans="1:4" x14ac:dyDescent="0.25">
      <c r="A96" s="2" t="str">
        <f>"1.3.3.00.00- INTANGIVEL"</f>
        <v>1.3.3.00.00- INTANGIVEL</v>
      </c>
      <c r="B96" s="10">
        <v>37558</v>
      </c>
      <c r="C96" s="10">
        <v>0</v>
      </c>
      <c r="D96" s="10">
        <v>37558</v>
      </c>
    </row>
    <row r="97" spans="1:4" x14ac:dyDescent="0.25">
      <c r="A97" s="2" t="str">
        <f>"1.3.3.03.00- MARCAS E PATENTES"</f>
        <v>1.3.3.03.00- MARCAS E PATENTES</v>
      </c>
      <c r="B97" s="10">
        <v>808</v>
      </c>
      <c r="C97" s="10">
        <v>0</v>
      </c>
      <c r="D97" s="10">
        <v>808</v>
      </c>
    </row>
    <row r="98" spans="1:4" x14ac:dyDescent="0.25">
      <c r="A98" s="2" t="str">
        <f>"1.3.3.03.01- Marcas e Patentes"</f>
        <v>1.3.3.03.01- Marcas e Patentes</v>
      </c>
      <c r="B98" s="10">
        <v>808</v>
      </c>
      <c r="C98" s="10">
        <v>0</v>
      </c>
      <c r="D98" s="10">
        <v>808</v>
      </c>
    </row>
    <row r="99" spans="1:4" x14ac:dyDescent="0.25">
      <c r="A99" s="2" t="str">
        <f>"1.3.3.04.01- Programas e Sistemas"</f>
        <v>1.3.3.04.01- Programas e Sistemas</v>
      </c>
      <c r="B99" s="10">
        <v>36750</v>
      </c>
      <c r="C99" s="10">
        <v>0</v>
      </c>
      <c r="D99" s="10">
        <v>36750</v>
      </c>
    </row>
    <row r="100" spans="1:4" x14ac:dyDescent="0.25">
      <c r="A100" s="2" t="str">
        <f>"1.3.5.00.00- ( - )DEPRECIACAO E AMORTIZACAO"</f>
        <v>1.3.5.00.00- ( - )DEPRECIACAO E AMORTIZACAO</v>
      </c>
      <c r="B100" s="10">
        <v>-5880802.1900000004</v>
      </c>
      <c r="C100" s="10">
        <v>-20813.43</v>
      </c>
      <c r="D100" s="10">
        <v>-5901615.6200000001</v>
      </c>
    </row>
    <row r="101" spans="1:4" x14ac:dyDescent="0.25">
      <c r="A101" s="2" t="str">
        <f>"1.3.5.01.00- ( - ) DEPRECIACAO E AMORTIZACAO"</f>
        <v>1.3.5.01.00- ( - ) DEPRECIACAO E AMORTIZACAO</v>
      </c>
      <c r="B101" s="10">
        <v>-5880802.1900000004</v>
      </c>
      <c r="C101" s="10">
        <v>-20813.43</v>
      </c>
      <c r="D101" s="10">
        <v>-5901615.6200000001</v>
      </c>
    </row>
    <row r="102" spans="1:4" x14ac:dyDescent="0.25">
      <c r="A102" s="2" t="str">
        <f>"1.3.5.01.01- ( - ) Moveis e Utensilios"</f>
        <v>1.3.5.01.01- ( - ) Moveis e Utensilios</v>
      </c>
      <c r="B102" s="10">
        <v>-463226.99</v>
      </c>
      <c r="C102" s="10">
        <v>-1968.64</v>
      </c>
      <c r="D102" s="10">
        <v>-465195.63</v>
      </c>
    </row>
    <row r="103" spans="1:4" x14ac:dyDescent="0.25">
      <c r="A103" s="2" t="str">
        <f>"1.3.5.01.02- ( - ) Aparelhos/Equipamentos Diversos"</f>
        <v>1.3.5.01.02- ( - ) Aparelhos/Equipamentos Diversos</v>
      </c>
      <c r="B103" s="10">
        <v>-399159.4</v>
      </c>
      <c r="C103" s="10">
        <v>-3981.14</v>
      </c>
      <c r="D103" s="10">
        <v>-403140.54</v>
      </c>
    </row>
    <row r="104" spans="1:4" x14ac:dyDescent="0.25">
      <c r="A104" s="2" t="str">
        <f>"1.3.5.01.03- ( - ) Instalacoes Administrativas"</f>
        <v>1.3.5.01.03- ( - ) Instalacoes Administrativas</v>
      </c>
      <c r="B104" s="10">
        <v>-99052.91</v>
      </c>
      <c r="C104" s="10">
        <v>-3.31</v>
      </c>
      <c r="D104" s="10">
        <v>-99056.22</v>
      </c>
    </row>
    <row r="105" spans="1:4" x14ac:dyDescent="0.25">
      <c r="A105" s="2" t="str">
        <f>"1.3.5.01.05- ( - ) Impressoras e Micros"</f>
        <v>1.3.5.01.05- ( - ) Impressoras e Micros</v>
      </c>
      <c r="B105" s="10">
        <v>-3317783.96</v>
      </c>
      <c r="C105" s="10">
        <v>-6982.94</v>
      </c>
      <c r="D105" s="10">
        <v>-3324766.9</v>
      </c>
    </row>
    <row r="106" spans="1:4" x14ac:dyDescent="0.25">
      <c r="A106" s="2" t="str">
        <f>"1.3.5.01.06- ( - ) Maquinas e Equipamentos"</f>
        <v>1.3.5.01.06- ( - ) Maquinas e Equipamentos</v>
      </c>
      <c r="B106" s="10">
        <v>-168992.92</v>
      </c>
      <c r="C106" s="10">
        <v>-1394.47</v>
      </c>
      <c r="D106" s="10">
        <v>-170387.39</v>
      </c>
    </row>
    <row r="107" spans="1:4" x14ac:dyDescent="0.25">
      <c r="A107" s="2" t="str">
        <f>"1.3.5.01.07- ( - ) Equipamentos de Comunicacao"</f>
        <v>1.3.5.01.07- ( - ) Equipamentos de Comunicacao</v>
      </c>
      <c r="B107" s="10">
        <v>-172102.01</v>
      </c>
      <c r="C107" s="10">
        <v>-5</v>
      </c>
      <c r="D107" s="10">
        <v>-172107.01</v>
      </c>
    </row>
    <row r="108" spans="1:4" x14ac:dyDescent="0.25">
      <c r="A108" s="2" t="str">
        <f>"1.3.5.01.08- ( - ) Instalacoes Operacionais"</f>
        <v>1.3.5.01.08- ( - ) Instalacoes Operacionais</v>
      </c>
      <c r="B108" s="10">
        <v>-68718.080000000002</v>
      </c>
      <c r="C108" s="10">
        <v>-232.87</v>
      </c>
      <c r="D108" s="10">
        <v>-68950.95</v>
      </c>
    </row>
    <row r="109" spans="1:4" x14ac:dyDescent="0.25">
      <c r="A109" s="2" t="str">
        <f>"1.3.5.01.09- ( - ) Programas (Softwares)"</f>
        <v>1.3.5.01.09- ( - ) Programas (Softwares)</v>
      </c>
      <c r="B109" s="10">
        <v>-34254.69</v>
      </c>
      <c r="C109" s="10">
        <v>-612.5</v>
      </c>
      <c r="D109" s="10">
        <v>-34867.19</v>
      </c>
    </row>
    <row r="110" spans="1:4" x14ac:dyDescent="0.25">
      <c r="A110" s="2" t="str">
        <f>"1.3.5.01.14- ( - ) Ferramentas"</f>
        <v>1.3.5.01.14- ( - ) Ferramentas</v>
      </c>
      <c r="B110" s="10">
        <v>-7656.99</v>
      </c>
      <c r="C110" s="10">
        <v>-52.81</v>
      </c>
      <c r="D110" s="10">
        <v>-7709.8</v>
      </c>
    </row>
    <row r="111" spans="1:4" x14ac:dyDescent="0.25">
      <c r="A111" s="2" t="str">
        <f>"1.3.5.01.15- ( - ) Imobilizacoes em Imov. Terceiros"</f>
        <v>1.3.5.01.15- ( - ) Imobilizacoes em Imov. Terceiros</v>
      </c>
      <c r="B111" s="10">
        <v>-1149854.24</v>
      </c>
      <c r="C111" s="10">
        <v>-5579.75</v>
      </c>
      <c r="D111" s="10">
        <v>-1155433.99</v>
      </c>
    </row>
    <row r="112" spans="1:4" x14ac:dyDescent="0.25">
      <c r="A112" s="2" t="str">
        <f>""</f>
        <v/>
      </c>
      <c r="B112" s="3" t="str">
        <f>""</f>
        <v/>
      </c>
      <c r="C112" s="3" t="str">
        <f>""</f>
        <v/>
      </c>
      <c r="D112" s="3" t="str">
        <f>""</f>
        <v/>
      </c>
    </row>
    <row r="113" spans="1:4" x14ac:dyDescent="0.25">
      <c r="A113" s="2" t="str">
        <f>"PASSIVO"</f>
        <v>PASSIVO</v>
      </c>
      <c r="B113" s="3" t="str">
        <f>""</f>
        <v/>
      </c>
      <c r="C113" s="3" t="str">
        <f>""</f>
        <v/>
      </c>
      <c r="D113" s="3" t="str">
        <f>""</f>
        <v/>
      </c>
    </row>
    <row r="114" spans="1:4" x14ac:dyDescent="0.25">
      <c r="A114" s="2" t="str">
        <f>"2.0.0.00.00- PASSIVO"</f>
        <v>2.0.0.00.00- PASSIVO</v>
      </c>
      <c r="B114" s="10">
        <v>56521631.979999997</v>
      </c>
      <c r="C114" s="10">
        <v>2328993.33</v>
      </c>
      <c r="D114" s="10">
        <v>58850625.310000002</v>
      </c>
    </row>
    <row r="115" spans="1:4" x14ac:dyDescent="0.25">
      <c r="A115" s="2" t="str">
        <f>"2.1.0.00.00- PASSIVO CIRCULANTE"</f>
        <v>2.1.0.00.00- PASSIVO CIRCULANTE</v>
      </c>
      <c r="B115" s="10">
        <v>85594646.109999999</v>
      </c>
      <c r="C115" s="10">
        <v>2731833.77</v>
      </c>
      <c r="D115" s="10">
        <v>88326479.879999995</v>
      </c>
    </row>
    <row r="116" spans="1:4" x14ac:dyDescent="0.25">
      <c r="A116" s="2" t="str">
        <f>"2.1.1.00.00- OBRIGACOES COM PESSOAL"</f>
        <v>2.1.1.00.00- OBRIGACOES COM PESSOAL</v>
      </c>
      <c r="B116" s="10">
        <v>18962838.780000001</v>
      </c>
      <c r="C116" s="10">
        <v>288361.37</v>
      </c>
      <c r="D116" s="10">
        <v>19251200.149999999</v>
      </c>
    </row>
    <row r="117" spans="1:4" x14ac:dyDescent="0.25">
      <c r="A117" s="2" t="str">
        <f>"2.1.1.01.00- SALARIOS A PAGAR"</f>
        <v>2.1.1.01.00- SALARIOS A PAGAR</v>
      </c>
      <c r="B117" s="10">
        <v>18962838.780000001</v>
      </c>
      <c r="C117" s="10">
        <v>288361.37</v>
      </c>
      <c r="D117" s="10">
        <v>19251200.149999999</v>
      </c>
    </row>
    <row r="118" spans="1:4" x14ac:dyDescent="0.25">
      <c r="A118" s="2" t="str">
        <f>"2.1.1.01.01- Salarios a Pagar"</f>
        <v>2.1.1.01.01- Salarios a Pagar</v>
      </c>
      <c r="B118" s="10">
        <v>4673401.63</v>
      </c>
      <c r="C118" s="10">
        <v>30375.99</v>
      </c>
      <c r="D118" s="10">
        <v>4703777.62</v>
      </c>
    </row>
    <row r="119" spans="1:4" x14ac:dyDescent="0.25">
      <c r="A119" s="2" t="str">
        <f>"2.1.1.01.02- Provisão 13º Salário"</f>
        <v>2.1.1.01.02- Provisão 13º Salário</v>
      </c>
      <c r="B119" s="10">
        <v>3860884.52</v>
      </c>
      <c r="C119" s="10">
        <v>483600.29</v>
      </c>
      <c r="D119" s="10">
        <v>4344484.8099999996</v>
      </c>
    </row>
    <row r="120" spans="1:4" x14ac:dyDescent="0.25">
      <c r="A120" s="2" t="str">
        <f>"2.1.1.01.03- Ferias a pagar"</f>
        <v>2.1.1.01.03- Ferias a pagar</v>
      </c>
      <c r="B120" s="10">
        <v>232343.54</v>
      </c>
      <c r="C120" s="10">
        <v>-128948.49</v>
      </c>
      <c r="D120" s="10">
        <v>103395.05</v>
      </c>
    </row>
    <row r="121" spans="1:4" x14ac:dyDescent="0.25">
      <c r="A121" s="2" t="str">
        <f>"2.1.1.01.05- Rescisoes a Pagar"</f>
        <v>2.1.1.01.05- Rescisoes a Pagar</v>
      </c>
      <c r="B121" s="10">
        <v>0</v>
      </c>
      <c r="C121" s="10">
        <v>562.84</v>
      </c>
      <c r="D121" s="10">
        <v>562.84</v>
      </c>
    </row>
    <row r="122" spans="1:4" x14ac:dyDescent="0.25">
      <c r="A122" s="2" t="str">
        <f>"2.1.1.01.09- Provisao de Ferias"</f>
        <v>2.1.1.01.09- Provisao de Ferias</v>
      </c>
      <c r="B122" s="10">
        <v>7366596.8099999996</v>
      </c>
      <c r="C122" s="10">
        <v>229404.82</v>
      </c>
      <c r="D122" s="10">
        <v>7596001.6299999999</v>
      </c>
    </row>
    <row r="123" spans="1:4" x14ac:dyDescent="0.25">
      <c r="A123" s="2" t="str">
        <f>"2.1.1.01.11- Indenizações trabalhistas - ACT"</f>
        <v>2.1.1.01.11- Indenizações trabalhistas - ACT</v>
      </c>
      <c r="B123" s="10">
        <v>2829612.28</v>
      </c>
      <c r="C123" s="10">
        <v>-326634.08</v>
      </c>
      <c r="D123" s="10">
        <v>2502978.2000000002</v>
      </c>
    </row>
    <row r="124" spans="1:4" x14ac:dyDescent="0.25">
      <c r="A124" s="2" t="str">
        <f>"2.1.2.00.00- OBRIGACOES SOCIAIS A CURTO PRAZO"</f>
        <v>2.1.2.00.00- OBRIGACOES SOCIAIS A CURTO PRAZO</v>
      </c>
      <c r="B124" s="10">
        <v>7494398.6500000004</v>
      </c>
      <c r="C124" s="10">
        <v>216742.3</v>
      </c>
      <c r="D124" s="10">
        <v>7711140.9500000002</v>
      </c>
    </row>
    <row r="125" spans="1:4" x14ac:dyDescent="0.25">
      <c r="A125" s="2" t="str">
        <f>"2.1.2.01.00- OBRIGACOES SOCIAIS A RECOLHER"</f>
        <v>2.1.2.01.00- OBRIGACOES SOCIAIS A RECOLHER</v>
      </c>
      <c r="B125" s="10">
        <v>7494398.6500000004</v>
      </c>
      <c r="C125" s="10">
        <v>216742.3</v>
      </c>
      <c r="D125" s="10">
        <v>7711140.9500000002</v>
      </c>
    </row>
    <row r="126" spans="1:4" x14ac:dyDescent="0.25">
      <c r="A126" s="2" t="str">
        <f>"2.1.2.01.01- INSS a recolher s/Folha Pagto"</f>
        <v>2.1.2.01.01- INSS a recolher s/Folha Pagto</v>
      </c>
      <c r="B126" s="10">
        <v>2348286.35</v>
      </c>
      <c r="C126" s="10">
        <v>-22299.23</v>
      </c>
      <c r="D126" s="10">
        <v>2325987.12</v>
      </c>
    </row>
    <row r="127" spans="1:4" x14ac:dyDescent="0.25">
      <c r="A127" s="2" t="str">
        <f>"2.1.2.01.02- FGTS a recolher s/Folha Pagto"</f>
        <v>2.1.2.01.02- FGTS a recolher s/Folha Pagto</v>
      </c>
      <c r="B127" s="10">
        <v>527226.17000000004</v>
      </c>
      <c r="C127" s="10">
        <v>-15173.82</v>
      </c>
      <c r="D127" s="10">
        <v>512052.35</v>
      </c>
    </row>
    <row r="128" spans="1:4" x14ac:dyDescent="0.25">
      <c r="A128" s="2" t="str">
        <f>"2.1.2.01.05- Contribuicao Sindical"</f>
        <v>2.1.2.01.05- Contribuicao Sindical</v>
      </c>
      <c r="B128" s="10">
        <v>7487.53</v>
      </c>
      <c r="C128" s="10">
        <v>-2.41</v>
      </c>
      <c r="D128" s="10">
        <v>7485.12</v>
      </c>
    </row>
    <row r="129" spans="1:4" x14ac:dyDescent="0.25">
      <c r="A129" s="2" t="str">
        <f>"2.1.2.01.06- INSS s/Provisao de Ferias"</f>
        <v>2.1.2.01.06- INSS s/Provisao de Ferias</v>
      </c>
      <c r="B129" s="10">
        <v>2136447.9500000002</v>
      </c>
      <c r="C129" s="10">
        <v>67632.52</v>
      </c>
      <c r="D129" s="10">
        <v>2204080.4700000002</v>
      </c>
    </row>
    <row r="130" spans="1:4" x14ac:dyDescent="0.25">
      <c r="A130" s="2" t="str">
        <f>"2.1.2.01.07- AEB - Assoc. Empreg. BHTRANS"</f>
        <v>2.1.2.01.07- AEB - Assoc. Empreg. BHTRANS</v>
      </c>
      <c r="B130" s="10">
        <v>4768.79</v>
      </c>
      <c r="C130" s="10">
        <v>116.04</v>
      </c>
      <c r="D130" s="10">
        <v>4884.83</v>
      </c>
    </row>
    <row r="131" spans="1:4" x14ac:dyDescent="0.25">
      <c r="A131" s="2" t="str">
        <f>"2.1.2.01.09- INSS a Recolher s/Autonomos"</f>
        <v>2.1.2.01.09- INSS a Recolher s/Autonomos</v>
      </c>
      <c r="B131" s="10">
        <v>1898.36</v>
      </c>
      <c r="C131" s="10">
        <v>67.08</v>
      </c>
      <c r="D131" s="10">
        <v>1965.44</v>
      </c>
    </row>
    <row r="132" spans="1:4" x14ac:dyDescent="0.25">
      <c r="A132" s="2" t="str">
        <f>"2.1.2.01.10- INSS s/Provisao de 13.Salario"</f>
        <v>2.1.2.01.10- INSS s/Provisao de 13.Salario</v>
      </c>
      <c r="B132" s="10">
        <v>1122114.44</v>
      </c>
      <c r="C132" s="10">
        <v>141285.07</v>
      </c>
      <c r="D132" s="10">
        <v>1263399.51</v>
      </c>
    </row>
    <row r="133" spans="1:4" x14ac:dyDescent="0.25">
      <c r="A133" s="2" t="str">
        <f>"2.1.2.01.11- FGTS s/Provisao de 13.Salario"</f>
        <v>2.1.2.01.11- FGTS s/Provisao de 13.Salario</v>
      </c>
      <c r="B133" s="10">
        <v>110088.85</v>
      </c>
      <c r="C133" s="10">
        <v>36097.5</v>
      </c>
      <c r="D133" s="10">
        <v>146186.35</v>
      </c>
    </row>
    <row r="134" spans="1:4" x14ac:dyDescent="0.25">
      <c r="A134" s="2" t="str">
        <f>"2.1.2.01.12- FGTS s/Provisao de Ferias"</f>
        <v>2.1.2.01.12- FGTS s/Provisao de Ferias</v>
      </c>
      <c r="B134" s="10">
        <v>588798.59</v>
      </c>
      <c r="C134" s="10">
        <v>18127.38</v>
      </c>
      <c r="D134" s="10">
        <v>606925.97</v>
      </c>
    </row>
    <row r="135" spans="1:4" x14ac:dyDescent="0.25">
      <c r="A135" s="2" t="str">
        <f>"2.1.2.01.13- Contribuicao ao PAMEH"</f>
        <v>2.1.2.01.13- Contribuicao ao PAMEH</v>
      </c>
      <c r="B135" s="10">
        <v>469713.86</v>
      </c>
      <c r="C135" s="10">
        <v>-9478.58</v>
      </c>
      <c r="D135" s="10">
        <v>460235.28</v>
      </c>
    </row>
    <row r="136" spans="1:4" x14ac:dyDescent="0.25">
      <c r="A136" s="2" t="str">
        <f>"2.1.2.01.15- Crediserv-BH"</f>
        <v>2.1.2.01.15- Crediserv-BH</v>
      </c>
      <c r="B136" s="10">
        <v>18542.57</v>
      </c>
      <c r="C136" s="10">
        <v>400.36</v>
      </c>
      <c r="D136" s="10">
        <v>18942.93</v>
      </c>
    </row>
    <row r="137" spans="1:4" x14ac:dyDescent="0.25">
      <c r="A137" s="2" t="str">
        <f>"2.1.2.01.16- INSS Fonte a Recolher - PJ"</f>
        <v>2.1.2.01.16- INSS Fonte a Recolher - PJ</v>
      </c>
      <c r="B137" s="10">
        <v>158139</v>
      </c>
      <c r="C137" s="10">
        <v>-119.95</v>
      </c>
      <c r="D137" s="10">
        <v>158019.04999999999</v>
      </c>
    </row>
    <row r="138" spans="1:4" x14ac:dyDescent="0.25">
      <c r="A138" s="2" t="str">
        <f>"2.1.2.01.18- INSS Fonte a Recolher - P F"</f>
        <v>2.1.2.01.18- INSS Fonte a Recolher - P F</v>
      </c>
      <c r="B138" s="10">
        <v>886.19</v>
      </c>
      <c r="C138" s="10">
        <v>90.34</v>
      </c>
      <c r="D138" s="10">
        <v>976.53</v>
      </c>
    </row>
    <row r="139" spans="1:4" x14ac:dyDescent="0.25">
      <c r="A139" s="2" t="str">
        <f>"2.1.3.00.00- OBRIGACOES FISCAIS A CURTO PRAZO"</f>
        <v>2.1.3.00.00- OBRIGACOES FISCAIS A CURTO PRAZO</v>
      </c>
      <c r="B139" s="10">
        <v>1995192.08</v>
      </c>
      <c r="C139" s="10">
        <v>205981.38</v>
      </c>
      <c r="D139" s="10">
        <v>2201173.46</v>
      </c>
    </row>
    <row r="140" spans="1:4" x14ac:dyDescent="0.25">
      <c r="A140" s="2" t="str">
        <f>"2.1.3.01.00- IMPOSTOS E TAXAS A RECOLHER"</f>
        <v>2.1.3.01.00- IMPOSTOS E TAXAS A RECOLHER</v>
      </c>
      <c r="B140" s="10">
        <v>1995192.08</v>
      </c>
      <c r="C140" s="10">
        <v>205981.38</v>
      </c>
      <c r="D140" s="10">
        <v>2201173.46</v>
      </c>
    </row>
    <row r="141" spans="1:4" x14ac:dyDescent="0.25">
      <c r="A141" s="2" t="str">
        <f>"2.1.3.01.01- IRRF Fonte Folha Pagto"</f>
        <v>2.1.3.01.01- IRRF Fonte Folha Pagto</v>
      </c>
      <c r="B141" s="10">
        <v>663167.26</v>
      </c>
      <c r="C141" s="10">
        <v>62062.63</v>
      </c>
      <c r="D141" s="10">
        <v>725229.89</v>
      </c>
    </row>
    <row r="142" spans="1:4" x14ac:dyDescent="0.25">
      <c r="A142" s="2" t="str">
        <f>"2.1.3.01.03- IRRF Fonte - Pessoa  Juridica e Física"</f>
        <v>2.1.3.01.03- IRRF Fonte - Pessoa  Juridica e Física</v>
      </c>
      <c r="B142" s="10">
        <v>17904.77</v>
      </c>
      <c r="C142" s="10">
        <v>-185.35</v>
      </c>
      <c r="D142" s="10">
        <v>17719.419999999998</v>
      </c>
    </row>
    <row r="143" spans="1:4" x14ac:dyDescent="0.25">
      <c r="A143" s="2" t="str">
        <f>"2.1.3.01.05- ISS S/ Faturamento"</f>
        <v>2.1.3.01.05- ISS S/ Faturamento</v>
      </c>
      <c r="B143" s="10">
        <v>2559.9499999999998</v>
      </c>
      <c r="C143" s="10">
        <v>-1998.83</v>
      </c>
      <c r="D143" s="10">
        <v>561.12</v>
      </c>
    </row>
    <row r="144" spans="1:4" x14ac:dyDescent="0.25">
      <c r="A144" s="2" t="str">
        <f>"2.1.3.01.07- COFINS a Recolher"</f>
        <v>2.1.3.01.07- COFINS a Recolher</v>
      </c>
      <c r="B144" s="10">
        <v>999956.47999999998</v>
      </c>
      <c r="C144" s="10">
        <v>122324.3</v>
      </c>
      <c r="D144" s="10">
        <v>1122280.78</v>
      </c>
    </row>
    <row r="145" spans="1:4" x14ac:dyDescent="0.25">
      <c r="A145" s="2" t="str">
        <f>"2.1.3.01.08- PIS a Recolher"</f>
        <v>2.1.3.01.08- PIS a Recolher</v>
      </c>
      <c r="B145" s="10">
        <v>216749.35</v>
      </c>
      <c r="C145" s="10">
        <v>26683.75</v>
      </c>
      <c r="D145" s="10">
        <v>243433.1</v>
      </c>
    </row>
    <row r="146" spans="1:4" x14ac:dyDescent="0.25">
      <c r="A146" s="2" t="str">
        <f>"2.1.3.01.09- ISS Fonte a Recolher P.Juridica"</f>
        <v>2.1.3.01.09- ISS Fonte a Recolher P.Juridica</v>
      </c>
      <c r="B146" s="10">
        <v>4549.1499999999996</v>
      </c>
      <c r="C146" s="10">
        <v>-353.09</v>
      </c>
      <c r="D146" s="10">
        <v>4196.0600000000004</v>
      </c>
    </row>
    <row r="147" spans="1:4" x14ac:dyDescent="0.25">
      <c r="A147" s="2" t="str">
        <f>"2.1.3.01.12- CSLL-COFINS-PIS - FONTE"</f>
        <v>2.1.3.01.12- CSLL-COFINS-PIS - FONTE</v>
      </c>
      <c r="B147" s="10">
        <v>90305.12</v>
      </c>
      <c r="C147" s="10">
        <v>-2552.0300000000002</v>
      </c>
      <c r="D147" s="10">
        <v>87753.09</v>
      </c>
    </row>
    <row r="148" spans="1:4" x14ac:dyDescent="0.25">
      <c r="A148" s="2" t="str">
        <f>"2.1.4.00.00- OUTRAS OBRIGACOES A CURTO PRAZO"</f>
        <v>2.1.4.00.00- OUTRAS OBRIGACOES A CURTO PRAZO</v>
      </c>
      <c r="B148" s="10">
        <v>57091137.100000001</v>
      </c>
      <c r="C148" s="10">
        <v>2026529.69</v>
      </c>
      <c r="D148" s="10">
        <v>59117666.789999999</v>
      </c>
    </row>
    <row r="149" spans="1:4" x14ac:dyDescent="0.25">
      <c r="A149" s="2" t="str">
        <f>"2.1.4.01.00- FORNECEDORES"</f>
        <v>2.1.4.01.00- FORNECEDORES</v>
      </c>
      <c r="B149" s="10">
        <v>2747979.08</v>
      </c>
      <c r="C149" s="10">
        <v>65619.3</v>
      </c>
      <c r="D149" s="10">
        <v>2813598.38</v>
      </c>
    </row>
    <row r="150" spans="1:4" x14ac:dyDescent="0.25">
      <c r="A150" s="2" t="str">
        <f>"2.1.4.01.99- Fornecedores"</f>
        <v>2.1.4.01.99- Fornecedores</v>
      </c>
      <c r="B150" s="10">
        <v>2747979.08</v>
      </c>
      <c r="C150" s="10">
        <v>65619.3</v>
      </c>
      <c r="D150" s="10">
        <v>2813598.38</v>
      </c>
    </row>
    <row r="151" spans="1:4" x14ac:dyDescent="0.25">
      <c r="A151" s="2" t="str">
        <f>"2.1.4.02.00- CONTAS A PAGAR"</f>
        <v>2.1.4.02.00- CONTAS A PAGAR</v>
      </c>
      <c r="B151" s="10">
        <v>519460.04</v>
      </c>
      <c r="C151" s="10">
        <v>-33900.54</v>
      </c>
      <c r="D151" s="10">
        <v>485559.5</v>
      </c>
    </row>
    <row r="152" spans="1:4" x14ac:dyDescent="0.25">
      <c r="A152" s="2" t="str">
        <f>"2.1.4.02.01- Emprestimo Consignado - Bradesco"</f>
        <v>2.1.4.02.01- Emprestimo Consignado - Bradesco</v>
      </c>
      <c r="B152" s="10">
        <v>139251.19</v>
      </c>
      <c r="C152" s="10">
        <v>5763.99</v>
      </c>
      <c r="D152" s="10">
        <v>145015.18</v>
      </c>
    </row>
    <row r="153" spans="1:4" x14ac:dyDescent="0.25">
      <c r="A153" s="2" t="str">
        <f>"2.1.4.02.03- Emprestimo Consignado - CEF"</f>
        <v>2.1.4.02.03- Emprestimo Consignado - CEF</v>
      </c>
      <c r="B153" s="10">
        <v>21111.95</v>
      </c>
      <c r="C153" s="10">
        <v>552.38</v>
      </c>
      <c r="D153" s="10">
        <v>21664.33</v>
      </c>
    </row>
    <row r="154" spans="1:4" x14ac:dyDescent="0.25">
      <c r="A154" s="2" t="str">
        <f>"2.1.4.02.04- Emprestimo Consignado - B.Brasil"</f>
        <v>2.1.4.02.04- Emprestimo Consignado - B.Brasil</v>
      </c>
      <c r="B154" s="10">
        <v>48032.17</v>
      </c>
      <c r="C154" s="10">
        <v>9853.86</v>
      </c>
      <c r="D154" s="10">
        <v>57886.03</v>
      </c>
    </row>
    <row r="155" spans="1:4" x14ac:dyDescent="0.25">
      <c r="A155" s="2" t="str">
        <f>"2.1.4.02.05- Emprestimo Consignado-Banco Alfa"</f>
        <v>2.1.4.02.05- Emprestimo Consignado-Banco Alfa</v>
      </c>
      <c r="B155" s="10">
        <v>49726.01</v>
      </c>
      <c r="C155" s="10">
        <v>191.11</v>
      </c>
      <c r="D155" s="10">
        <v>49917.120000000003</v>
      </c>
    </row>
    <row r="156" spans="1:4" x14ac:dyDescent="0.25">
      <c r="A156" s="2" t="str">
        <f>"2.1.4.02.07- Emprestimo Consignado - B. Safra"</f>
        <v>2.1.4.02.07- Emprestimo Consignado - B. Safra</v>
      </c>
      <c r="B156" s="10">
        <v>10630.86</v>
      </c>
      <c r="C156" s="10">
        <v>-939.21</v>
      </c>
      <c r="D156" s="10">
        <v>9691.65</v>
      </c>
    </row>
    <row r="157" spans="1:4" x14ac:dyDescent="0.25">
      <c r="A157" s="2" t="str">
        <f>"2.1.4.02.09- Emprestimo Consignado - BMC"</f>
        <v>2.1.4.02.09- Emprestimo Consignado - BMC</v>
      </c>
      <c r="B157" s="10">
        <v>307.8</v>
      </c>
      <c r="C157" s="10">
        <v>0</v>
      </c>
      <c r="D157" s="10">
        <v>307.8</v>
      </c>
    </row>
    <row r="158" spans="1:4" x14ac:dyDescent="0.25">
      <c r="A158" s="2" t="str">
        <f>"2.1.4.02.10- Cartão - BMG Card"</f>
        <v>2.1.4.02.10- Cartão - BMG Card</v>
      </c>
      <c r="B158" s="10">
        <v>9901.27</v>
      </c>
      <c r="C158" s="10">
        <v>48.49</v>
      </c>
      <c r="D158" s="10">
        <v>9949.76</v>
      </c>
    </row>
    <row r="159" spans="1:4" x14ac:dyDescent="0.25">
      <c r="A159" s="2" t="str">
        <f>"2.1.4.02.12- Custas judiciais"</f>
        <v>2.1.4.02.12- Custas judiciais</v>
      </c>
      <c r="B159" s="10">
        <v>1002.8</v>
      </c>
      <c r="C159" s="10">
        <v>-799.92</v>
      </c>
      <c r="D159" s="10">
        <v>202.88</v>
      </c>
    </row>
    <row r="160" spans="1:4" x14ac:dyDescent="0.25">
      <c r="A160" s="2" t="str">
        <f>"2.1.4.02.99- Contas a Pagar"</f>
        <v>2.1.4.02.99- Contas a Pagar</v>
      </c>
      <c r="B160" s="10">
        <v>239495.99</v>
      </c>
      <c r="C160" s="10">
        <v>-48571.24</v>
      </c>
      <c r="D160" s="10">
        <v>190924.75</v>
      </c>
    </row>
    <row r="161" spans="1:4" x14ac:dyDescent="0.25">
      <c r="A161" s="2" t="str">
        <f>"2.1.4.03.00- CREDORES DIVERSOS"</f>
        <v>2.1.4.03.00- CREDORES DIVERSOS</v>
      </c>
      <c r="B161" s="10">
        <v>53103210.649999999</v>
      </c>
      <c r="C161" s="10">
        <v>1994810.93</v>
      </c>
      <c r="D161" s="10">
        <v>55098021.579999998</v>
      </c>
    </row>
    <row r="162" spans="1:4" x14ac:dyDescent="0.25">
      <c r="A162" s="2" t="str">
        <f>"2.1.4.03.07- Adiantamento Acionista - Municipio BH"</f>
        <v>2.1.4.03.07- Adiantamento Acionista - Municipio BH</v>
      </c>
      <c r="B162" s="10">
        <v>53103210.649999999</v>
      </c>
      <c r="C162" s="10">
        <v>1994810.93</v>
      </c>
      <c r="D162" s="10">
        <v>55098021.579999998</v>
      </c>
    </row>
    <row r="163" spans="1:4" x14ac:dyDescent="0.25">
      <c r="A163" s="2" t="str">
        <f>"2.1.4.04.00- CAUCAO DE TERCEIROS/LEILAO"</f>
        <v>2.1.4.04.00- CAUCAO DE TERCEIROS/LEILAO</v>
      </c>
      <c r="B163" s="10">
        <v>720487.33</v>
      </c>
      <c r="C163" s="10">
        <v>0</v>
      </c>
      <c r="D163" s="10">
        <v>720487.33</v>
      </c>
    </row>
    <row r="164" spans="1:4" x14ac:dyDescent="0.25">
      <c r="A164" s="2" t="str">
        <f>"2.1.4.04.98- Leilões"</f>
        <v>2.1.4.04.98- Leilões</v>
      </c>
      <c r="B164" s="10">
        <v>554111.25</v>
      </c>
      <c r="C164" s="10">
        <v>0</v>
      </c>
      <c r="D164" s="10">
        <v>554111.25</v>
      </c>
    </row>
    <row r="165" spans="1:4" x14ac:dyDescent="0.25">
      <c r="A165" s="2" t="str">
        <f>"2.1.4.04.99- Caucao de Terceiros"</f>
        <v>2.1.4.04.99- Caucao de Terceiros</v>
      </c>
      <c r="B165" s="10">
        <v>166376.07999999999</v>
      </c>
      <c r="C165" s="10">
        <v>0</v>
      </c>
      <c r="D165" s="10">
        <v>166376.07999999999</v>
      </c>
    </row>
    <row r="166" spans="1:4" x14ac:dyDescent="0.25">
      <c r="A166" s="2" t="str">
        <f>"2.1.6.00.00- OBRIGACOES VINC. A PAGAR-PAMEH"</f>
        <v>2.1.6.00.00- OBRIGACOES VINC. A PAGAR-PAMEH</v>
      </c>
      <c r="B166" s="10">
        <v>51079.5</v>
      </c>
      <c r="C166" s="10">
        <v>-5780.97</v>
      </c>
      <c r="D166" s="10">
        <v>45298.53</v>
      </c>
    </row>
    <row r="167" spans="1:4" x14ac:dyDescent="0.25">
      <c r="A167" s="2" t="str">
        <f>"2.1.6.01.00- OBRIGACOES VINC. -PAMEH"</f>
        <v>2.1.6.01.00- OBRIGACOES VINC. -PAMEH</v>
      </c>
      <c r="B167" s="10">
        <v>51079.5</v>
      </c>
      <c r="C167" s="10">
        <v>-5780.97</v>
      </c>
      <c r="D167" s="10">
        <v>45298.53</v>
      </c>
    </row>
    <row r="168" spans="1:4" x14ac:dyDescent="0.25">
      <c r="A168" s="2" t="str">
        <f>"2.1.6.01.01- Obrigacoes Vinculadas - PAMEH"</f>
        <v>2.1.6.01.01- Obrigacoes Vinculadas - PAMEH</v>
      </c>
      <c r="B168" s="10">
        <v>51079.5</v>
      </c>
      <c r="C168" s="10">
        <v>-5780.97</v>
      </c>
      <c r="D168" s="10">
        <v>45298.53</v>
      </c>
    </row>
    <row r="169" spans="1:4" x14ac:dyDescent="0.25">
      <c r="A169" s="2" t="str">
        <f>"2.2.0.00.00- PASSIVO NAO CIRCULANTE"</f>
        <v>2.2.0.00.00- PASSIVO NAO CIRCULANTE</v>
      </c>
      <c r="B169" s="10">
        <v>47241580.630000003</v>
      </c>
      <c r="C169" s="10">
        <v>-403011.7</v>
      </c>
      <c r="D169" s="10">
        <v>46838568.93</v>
      </c>
    </row>
    <row r="170" spans="1:4" x14ac:dyDescent="0.25">
      <c r="A170" s="2" t="str">
        <f>"2.2.4.00.00- OUTRAS OBRIGACOES A LONGO PRAZO"</f>
        <v>2.2.4.00.00- OUTRAS OBRIGACOES A LONGO PRAZO</v>
      </c>
      <c r="B170" s="10">
        <v>44565839.670000002</v>
      </c>
      <c r="C170" s="10">
        <v>-108629.7</v>
      </c>
      <c r="D170" s="10">
        <v>44457209.969999999</v>
      </c>
    </row>
    <row r="171" spans="1:4" x14ac:dyDescent="0.25">
      <c r="A171" s="2" t="str">
        <f>"2.2.4.01.00- CREDORES DIVERSOS"</f>
        <v>2.2.4.01.00- CREDORES DIVERSOS</v>
      </c>
      <c r="B171" s="10">
        <v>10868557.66</v>
      </c>
      <c r="C171" s="10">
        <v>0</v>
      </c>
      <c r="D171" s="10">
        <v>10868557.66</v>
      </c>
    </row>
    <row r="172" spans="1:4" x14ac:dyDescent="0.25">
      <c r="A172" s="2" t="str">
        <f>"2.2.4.01.04- Provisão para Contingências Fiscais"</f>
        <v>2.2.4.01.04- Provisão para Contingências Fiscais</v>
      </c>
      <c r="B172" s="10">
        <v>9926702.7200000007</v>
      </c>
      <c r="C172" s="10">
        <v>0</v>
      </c>
      <c r="D172" s="10">
        <v>9926702.7200000007</v>
      </c>
    </row>
    <row r="173" spans="1:4" x14ac:dyDescent="0.25">
      <c r="A173" s="2" t="str">
        <f>"2.2.4.01.05- INSS Segurados"</f>
        <v>2.2.4.01.05- INSS Segurados</v>
      </c>
      <c r="B173" s="10">
        <v>941854.94</v>
      </c>
      <c r="C173" s="10">
        <v>0</v>
      </c>
      <c r="D173" s="10">
        <v>941854.94</v>
      </c>
    </row>
    <row r="174" spans="1:4" x14ac:dyDescent="0.25">
      <c r="A174" s="2" t="str">
        <f>"2.2.4.04.00- ACOES JUDICIAIS E TRABALHISTAS"</f>
        <v>2.2.4.04.00- ACOES JUDICIAIS E TRABALHISTAS</v>
      </c>
      <c r="B174" s="10">
        <v>33697282.009999998</v>
      </c>
      <c r="C174" s="10">
        <v>-108629.7</v>
      </c>
      <c r="D174" s="10">
        <v>33588652.310000002</v>
      </c>
    </row>
    <row r="175" spans="1:4" x14ac:dyDescent="0.25">
      <c r="A175" s="2" t="str">
        <f>"2.2.4.04.01- Acoes judiciais"</f>
        <v>2.2.4.04.01- Acoes judiciais</v>
      </c>
      <c r="B175" s="10">
        <v>16494009.210000001</v>
      </c>
      <c r="C175" s="10">
        <v>0</v>
      </c>
      <c r="D175" s="10">
        <v>16494009.210000001</v>
      </c>
    </row>
    <row r="176" spans="1:4" x14ac:dyDescent="0.25">
      <c r="A176" s="2" t="str">
        <f>"2.2.4.04.02- Acoes trabalhistas"</f>
        <v>2.2.4.04.02- Acoes trabalhistas</v>
      </c>
      <c r="B176" s="10">
        <v>17203272.800000001</v>
      </c>
      <c r="C176" s="10">
        <v>-108629.7</v>
      </c>
      <c r="D176" s="10">
        <v>17094643.100000001</v>
      </c>
    </row>
    <row r="177" spans="1:4" x14ac:dyDescent="0.25">
      <c r="A177" s="2" t="str">
        <f>"2.2.5.00.00- OBRIGACOES VINC.  AO PAMEH"</f>
        <v>2.2.5.00.00- OBRIGACOES VINC.  AO PAMEH</v>
      </c>
      <c r="B177" s="10">
        <v>2675740.96</v>
      </c>
      <c r="C177" s="10">
        <v>-294382</v>
      </c>
      <c r="D177" s="10">
        <v>2381358.96</v>
      </c>
    </row>
    <row r="178" spans="1:4" x14ac:dyDescent="0.25">
      <c r="A178" s="2" t="str">
        <f>"2.2.5.01.00- OBRIGACOES VINC.  AO PAMEH"</f>
        <v>2.2.5.01.00- OBRIGACOES VINC.  AO PAMEH</v>
      </c>
      <c r="B178" s="10">
        <v>2675740.96</v>
      </c>
      <c r="C178" s="10">
        <v>-294382</v>
      </c>
      <c r="D178" s="10">
        <v>2381358.96</v>
      </c>
    </row>
    <row r="179" spans="1:4" x14ac:dyDescent="0.25">
      <c r="A179" s="2" t="str">
        <f>"2.2.5.01.01- Resultado Exerc.Anteriores-PAMEH"</f>
        <v>2.2.5.01.01- Resultado Exerc.Anteriores-PAMEH</v>
      </c>
      <c r="B179" s="10">
        <v>3478307.51</v>
      </c>
      <c r="C179" s="10">
        <v>0</v>
      </c>
      <c r="D179" s="10">
        <v>3478307.51</v>
      </c>
    </row>
    <row r="180" spans="1:4" x14ac:dyDescent="0.25">
      <c r="A180" s="2" t="str">
        <f>"2.2.5.01.02- Resultado deste Exercicio-PAMEH"</f>
        <v>2.2.5.01.02- Resultado deste Exercicio-PAMEH</v>
      </c>
      <c r="B180" s="10">
        <v>-802566.55</v>
      </c>
      <c r="C180" s="10">
        <v>-294382</v>
      </c>
      <c r="D180" s="10">
        <v>-1096948.55</v>
      </c>
    </row>
    <row r="181" spans="1:4" x14ac:dyDescent="0.25">
      <c r="A181" s="2" t="str">
        <f>"2.4.0.00.00- PATRIMONIO LIQUIDO"</f>
        <v>2.4.0.00.00- PATRIMONIO LIQUIDO</v>
      </c>
      <c r="B181" s="10">
        <v>-76314594.760000005</v>
      </c>
      <c r="C181" s="10">
        <v>171.26</v>
      </c>
      <c r="D181" s="10">
        <v>-76314423.5</v>
      </c>
    </row>
    <row r="182" spans="1:4" x14ac:dyDescent="0.25">
      <c r="A182" s="2" t="str">
        <f>"2.4.1.00.00- CAPITAL SOCIAL"</f>
        <v>2.4.1.00.00- CAPITAL SOCIAL</v>
      </c>
      <c r="B182" s="10">
        <v>67418193.159999996</v>
      </c>
      <c r="C182" s="10">
        <v>0</v>
      </c>
      <c r="D182" s="10">
        <v>67418193.159999996</v>
      </c>
    </row>
    <row r="183" spans="1:4" x14ac:dyDescent="0.25">
      <c r="A183" s="2" t="str">
        <f>"2.4.1.02.00- CAPITAL REALIZADO"</f>
        <v>2.4.1.02.00- CAPITAL REALIZADO</v>
      </c>
      <c r="B183" s="10">
        <v>67418193.159999996</v>
      </c>
      <c r="C183" s="10">
        <v>0</v>
      </c>
      <c r="D183" s="10">
        <v>67418193.159999996</v>
      </c>
    </row>
    <row r="184" spans="1:4" x14ac:dyDescent="0.25">
      <c r="A184" s="2" t="str">
        <f>"2.4.1.02.01- Capital Subscrito"</f>
        <v>2.4.1.02.01- Capital Subscrito</v>
      </c>
      <c r="B184" s="10">
        <v>75000000</v>
      </c>
      <c r="C184" s="10">
        <v>0</v>
      </c>
      <c r="D184" s="10">
        <v>75000000</v>
      </c>
    </row>
    <row r="185" spans="1:4" x14ac:dyDescent="0.25">
      <c r="A185" s="2" t="str">
        <f>"2.4.1.02.04- Capital a Realizar"</f>
        <v>2.4.1.02.04- Capital a Realizar</v>
      </c>
      <c r="B185" s="10">
        <v>-7581806.8399999999</v>
      </c>
      <c r="C185" s="10">
        <v>0</v>
      </c>
      <c r="D185" s="10">
        <v>-7581806.8399999999</v>
      </c>
    </row>
    <row r="186" spans="1:4" x14ac:dyDescent="0.25">
      <c r="A186" s="2" t="str">
        <f>"2.4.3.00.00- RESULTADOS ACUMULADOS"</f>
        <v>2.4.3.00.00- RESULTADOS ACUMULADOS</v>
      </c>
      <c r="B186" s="10">
        <v>-143732787.91999999</v>
      </c>
      <c r="C186" s="10">
        <v>171.26</v>
      </c>
      <c r="D186" s="10">
        <v>-143732616.66</v>
      </c>
    </row>
    <row r="187" spans="1:4" x14ac:dyDescent="0.25">
      <c r="A187" s="2" t="str">
        <f>"2.4.3.01.00- LUCROS/PREJUIZOS ACUMULADOS"</f>
        <v>2.4.3.01.00- LUCROS/PREJUIZOS ACUMULADOS</v>
      </c>
      <c r="B187" s="10">
        <v>-143732787.91999999</v>
      </c>
      <c r="C187" s="10">
        <v>171.26</v>
      </c>
      <c r="D187" s="10">
        <v>-143732616.66</v>
      </c>
    </row>
    <row r="188" spans="1:4" x14ac:dyDescent="0.25">
      <c r="A188" s="2" t="str">
        <f>"2.4.3.01.01- Resultados de Exerc. Anteriores"</f>
        <v>2.4.3.01.01- Resultados de Exerc. Anteriores</v>
      </c>
      <c r="B188" s="10">
        <v>-144079394.25</v>
      </c>
      <c r="C188" s="10">
        <v>0</v>
      </c>
      <c r="D188" s="10">
        <v>-144079394.25</v>
      </c>
    </row>
    <row r="189" spans="1:4" x14ac:dyDescent="0.25">
      <c r="A189" s="2" t="str">
        <f>"2.4.3.01.03- Ajuste do Exercicio Anterior"</f>
        <v>2.4.3.01.03- Ajuste do Exercicio Anterior</v>
      </c>
      <c r="B189" s="10">
        <v>346606.33</v>
      </c>
      <c r="C189" s="10">
        <v>171.26</v>
      </c>
      <c r="D189" s="10">
        <v>346777.59</v>
      </c>
    </row>
    <row r="190" spans="1:4" x14ac:dyDescent="0.25">
      <c r="A190" s="2" t="str">
        <f>""</f>
        <v/>
      </c>
      <c r="B190" s="3" t="str">
        <f>""</f>
        <v/>
      </c>
      <c r="C190" s="3" t="str">
        <f>""</f>
        <v/>
      </c>
      <c r="D190" s="3" t="str">
        <f>""</f>
        <v/>
      </c>
    </row>
    <row r="191" spans="1:4" x14ac:dyDescent="0.25">
      <c r="A191" s="2" t="str">
        <f>""</f>
        <v/>
      </c>
      <c r="B191" s="3" t="str">
        <f>""</f>
        <v/>
      </c>
      <c r="C191" s="3" t="str">
        <f>""</f>
        <v/>
      </c>
      <c r="D191" s="3" t="str">
        <f>""</f>
        <v/>
      </c>
    </row>
    <row r="192" spans="1:4" x14ac:dyDescent="0.25">
      <c r="A192" s="2" t="str">
        <f>""</f>
        <v/>
      </c>
      <c r="B192" s="3" t="str">
        <f>""</f>
        <v/>
      </c>
      <c r="C192" s="3" t="str">
        <f>""</f>
        <v/>
      </c>
      <c r="D192" s="3" t="str">
        <f>""</f>
        <v/>
      </c>
    </row>
    <row r="193" spans="1:4" x14ac:dyDescent="0.25">
      <c r="A193" s="2" t="str">
        <f>""</f>
        <v/>
      </c>
      <c r="B193" s="3" t="str">
        <f>""</f>
        <v/>
      </c>
      <c r="C193" s="3" t="str">
        <f>""</f>
        <v/>
      </c>
      <c r="D193" s="3" t="str">
        <f>""</f>
        <v/>
      </c>
    </row>
    <row r="194" spans="1:4" x14ac:dyDescent="0.25">
      <c r="A194" s="2" t="str">
        <f>""</f>
        <v/>
      </c>
      <c r="B194" s="3" t="str">
        <f>""</f>
        <v/>
      </c>
      <c r="C194" s="3" t="str">
        <f>""</f>
        <v/>
      </c>
      <c r="D194" s="3" t="str">
        <f>""</f>
        <v/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"DESPESAS"</f>
        <v>DESPESAS</v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"3.0.0.00.00- DESPESAS"</f>
        <v>3.0.0.00.00- DESPESAS</v>
      </c>
      <c r="B198" s="10">
        <v>112183680.18000001</v>
      </c>
      <c r="C198" s="10">
        <v>13758162.130000001</v>
      </c>
      <c r="D198" s="10">
        <v>125941842.31</v>
      </c>
    </row>
    <row r="199" spans="1:4" x14ac:dyDescent="0.25">
      <c r="A199" s="2" t="str">
        <f>"3.1.0.00.00- DESPESAS OPERACIONAIS"</f>
        <v>3.1.0.00.00- DESPESAS OPERACIONAIS</v>
      </c>
      <c r="B199" s="10">
        <v>112183680.18000001</v>
      </c>
      <c r="C199" s="10">
        <v>13758162.130000001</v>
      </c>
      <c r="D199" s="10">
        <v>125941842.31</v>
      </c>
    </row>
    <row r="200" spans="1:4" x14ac:dyDescent="0.25">
      <c r="A200" s="2" t="str">
        <f>"3.1.1.00.00- SALARIOS ADICIONAIS E HONORARIOS"</f>
        <v>3.1.1.00.00- SALARIOS ADICIONAIS E HONORARIOS</v>
      </c>
      <c r="B200" s="10">
        <v>59748333.170000002</v>
      </c>
      <c r="C200" s="10">
        <v>7163523.5199999996</v>
      </c>
      <c r="D200" s="10">
        <v>66911856.689999998</v>
      </c>
    </row>
    <row r="201" spans="1:4" x14ac:dyDescent="0.25">
      <c r="A201" s="2" t="str">
        <f>"3.1.1.00.01- Honorarios diretoria"</f>
        <v>3.1.1.00.01- Honorarios diretoria</v>
      </c>
      <c r="B201" s="10">
        <v>663639.68999999994</v>
      </c>
      <c r="C201" s="10">
        <v>86992.82</v>
      </c>
      <c r="D201" s="10">
        <v>750632.51</v>
      </c>
    </row>
    <row r="202" spans="1:4" x14ac:dyDescent="0.25">
      <c r="A202" s="2" t="str">
        <f>"3.1.1.00.02- Honorarios conselho fiscal"</f>
        <v>3.1.1.00.02- Honorarios conselho fiscal</v>
      </c>
      <c r="B202" s="10">
        <v>40721.5</v>
      </c>
      <c r="C202" s="10">
        <v>5311.5</v>
      </c>
      <c r="D202" s="10">
        <v>46033</v>
      </c>
    </row>
    <row r="203" spans="1:4" x14ac:dyDescent="0.25">
      <c r="A203" s="2" t="str">
        <f>"3.1.1.00.03- Honorarios cons. administracao"</f>
        <v>3.1.1.00.03- Honorarios cons. administracao</v>
      </c>
      <c r="B203" s="10">
        <v>74573.460000000006</v>
      </c>
      <c r="C203" s="10">
        <v>4162.24</v>
      </c>
      <c r="D203" s="10">
        <v>78735.7</v>
      </c>
    </row>
    <row r="204" spans="1:4" x14ac:dyDescent="0.25">
      <c r="A204" s="2" t="str">
        <f>"3.1.1.00.04- Salarios e adicionais"</f>
        <v>3.1.1.00.04- Salarios e adicionais</v>
      </c>
      <c r="B204" s="10">
        <v>45066743.840000004</v>
      </c>
      <c r="C204" s="10">
        <v>5872653.2400000002</v>
      </c>
      <c r="D204" s="10">
        <v>50939397.079999998</v>
      </c>
    </row>
    <row r="205" spans="1:4" x14ac:dyDescent="0.25">
      <c r="A205" s="2" t="str">
        <f>"3.1.1.00.05- Ferias e abono pecuniario"</f>
        <v>3.1.1.00.05- Ferias e abono pecuniario</v>
      </c>
      <c r="B205" s="10">
        <v>5938352.2800000003</v>
      </c>
      <c r="C205" s="10">
        <v>690852.13</v>
      </c>
      <c r="D205" s="10">
        <v>6629204.4100000001</v>
      </c>
    </row>
    <row r="206" spans="1:4" x14ac:dyDescent="0.25">
      <c r="A206" s="2" t="str">
        <f>"3.1.1.00.06- Decimo terceiro salario"</f>
        <v>3.1.1.00.06- Decimo terceiro salario</v>
      </c>
      <c r="B206" s="10">
        <v>3895329.33</v>
      </c>
      <c r="C206" s="10">
        <v>483600.29</v>
      </c>
      <c r="D206" s="10">
        <v>4378929.62</v>
      </c>
    </row>
    <row r="207" spans="1:4" x14ac:dyDescent="0.25">
      <c r="A207" s="2" t="str">
        <f>"3.1.1.00.07- Indenizacoes trabalhistas"</f>
        <v>3.1.1.00.07- Indenizacoes trabalhistas</v>
      </c>
      <c r="B207" s="10">
        <v>16500.36</v>
      </c>
      <c r="C207" s="10">
        <v>0</v>
      </c>
      <c r="D207" s="10">
        <v>16500.36</v>
      </c>
    </row>
    <row r="208" spans="1:4" x14ac:dyDescent="0.25">
      <c r="A208" s="2" t="str">
        <f>"3.1.1.00.08- Bolsas de estagiario"</f>
        <v>3.1.1.00.08- Bolsas de estagiario</v>
      </c>
      <c r="B208" s="10">
        <v>119392.91</v>
      </c>
      <c r="C208" s="10">
        <v>19951.3</v>
      </c>
      <c r="D208" s="10">
        <v>139344.21</v>
      </c>
    </row>
    <row r="209" spans="1:4" x14ac:dyDescent="0.25">
      <c r="A209" s="2" t="str">
        <f>"3.1.1.00.10- Indenizações trabalhistas - ACT"</f>
        <v>3.1.1.00.10- Indenizações trabalhistas - ACT</v>
      </c>
      <c r="B209" s="10">
        <v>3933079.8</v>
      </c>
      <c r="C209" s="10">
        <v>0</v>
      </c>
      <c r="D209" s="10">
        <v>3933079.8</v>
      </c>
    </row>
    <row r="210" spans="1:4" x14ac:dyDescent="0.25">
      <c r="A210" s="2" t="str">
        <f>"3.1.2.01.00- ENCARGOS SOCIAIS"</f>
        <v>3.1.2.01.00- ENCARGOS SOCIAIS</v>
      </c>
      <c r="B210" s="10">
        <v>20045517.379999999</v>
      </c>
      <c r="C210" s="10">
        <v>2590542.39</v>
      </c>
      <c r="D210" s="10">
        <v>22636059.77</v>
      </c>
    </row>
    <row r="211" spans="1:4" x14ac:dyDescent="0.25">
      <c r="A211" s="2" t="str">
        <f>"3.1.2.01.01- INSS"</f>
        <v>3.1.2.01.01- INSS</v>
      </c>
      <c r="B211" s="10">
        <v>15595523.109999999</v>
      </c>
      <c r="C211" s="10">
        <v>2024270.31</v>
      </c>
      <c r="D211" s="10">
        <v>17619793.420000002</v>
      </c>
    </row>
    <row r="212" spans="1:4" x14ac:dyDescent="0.25">
      <c r="A212" s="2" t="str">
        <f>"3.1.2.01.02- FGTS"</f>
        <v>3.1.2.01.02- FGTS</v>
      </c>
      <c r="B212" s="10">
        <v>4449994.2699999996</v>
      </c>
      <c r="C212" s="10">
        <v>566272.07999999996</v>
      </c>
      <c r="D212" s="10">
        <v>5016266.3499999996</v>
      </c>
    </row>
    <row r="213" spans="1:4" x14ac:dyDescent="0.25">
      <c r="A213" s="2" t="str">
        <f>"3.1.2.02.00- OUTRAS DESPESAS COM PESSOAL"</f>
        <v>3.1.2.02.00- OUTRAS DESPESAS COM PESSOAL</v>
      </c>
      <c r="B213" s="10">
        <v>10026483.09</v>
      </c>
      <c r="C213" s="10">
        <v>1236444.27</v>
      </c>
      <c r="D213" s="10">
        <v>11262927.359999999</v>
      </c>
    </row>
    <row r="214" spans="1:4" x14ac:dyDescent="0.25">
      <c r="A214" s="2" t="str">
        <f>"3.1.2.02.01- Seguros de Vida"</f>
        <v>3.1.2.02.01- Seguros de Vida</v>
      </c>
      <c r="B214" s="10">
        <v>70433.600000000006</v>
      </c>
      <c r="C214" s="10">
        <v>-13213.46</v>
      </c>
      <c r="D214" s="10">
        <v>57220.14</v>
      </c>
    </row>
    <row r="215" spans="1:4" x14ac:dyDescent="0.25">
      <c r="A215" s="2" t="str">
        <f>"3.1.2.02.02- Ass. Medica Odontologica"</f>
        <v>3.1.2.02.02- Ass. Medica Odontologica</v>
      </c>
      <c r="B215" s="10">
        <v>2813495.5</v>
      </c>
      <c r="C215" s="10">
        <v>383815.11</v>
      </c>
      <c r="D215" s="10">
        <v>3197310.61</v>
      </c>
    </row>
    <row r="216" spans="1:4" x14ac:dyDescent="0.25">
      <c r="A216" s="2" t="str">
        <f>"3.1.2.02.03- Vale Transporte"</f>
        <v>3.1.2.02.03- Vale Transporte</v>
      </c>
      <c r="B216" s="10">
        <v>675380.74</v>
      </c>
      <c r="C216" s="10">
        <v>109063.87</v>
      </c>
      <c r="D216" s="10">
        <v>784444.61</v>
      </c>
    </row>
    <row r="217" spans="1:4" x14ac:dyDescent="0.25">
      <c r="A217" s="2" t="str">
        <f>"3.1.2.02.04- Vale Refeicao/Alimentacao"</f>
        <v>3.1.2.02.04- Vale Refeicao/Alimentacao</v>
      </c>
      <c r="B217" s="10">
        <v>6189483.3799999999</v>
      </c>
      <c r="C217" s="10">
        <v>734769.73</v>
      </c>
      <c r="D217" s="10">
        <v>6924253.1100000003</v>
      </c>
    </row>
    <row r="218" spans="1:4" x14ac:dyDescent="0.25">
      <c r="A218" s="2" t="str">
        <f>"3.1.2.02.05- Compl. Auxilio Doenca"</f>
        <v>3.1.2.02.05- Compl. Auxilio Doenca</v>
      </c>
      <c r="B218" s="10">
        <v>58676.82</v>
      </c>
      <c r="C218" s="10">
        <v>1670.65</v>
      </c>
      <c r="D218" s="10">
        <v>60347.47</v>
      </c>
    </row>
    <row r="219" spans="1:4" x14ac:dyDescent="0.25">
      <c r="A219" s="2" t="str">
        <f>"3.1.2.02.06- Cursos e Treinamentos"</f>
        <v>3.1.2.02.06- Cursos e Treinamentos</v>
      </c>
      <c r="B219" s="10">
        <v>48192.3</v>
      </c>
      <c r="C219" s="10">
        <v>617</v>
      </c>
      <c r="D219" s="10">
        <v>48809.3</v>
      </c>
    </row>
    <row r="220" spans="1:4" x14ac:dyDescent="0.25">
      <c r="A220" s="2" t="str">
        <f>"3.1.2.02.07- Auxilio Creche"</f>
        <v>3.1.2.02.07- Auxilio Creche</v>
      </c>
      <c r="B220" s="10">
        <v>170820.75</v>
      </c>
      <c r="C220" s="10">
        <v>19721.37</v>
      </c>
      <c r="D220" s="10">
        <v>190542.12</v>
      </c>
    </row>
    <row r="221" spans="1:4" x14ac:dyDescent="0.25">
      <c r="A221" s="2" t="str">
        <f>"3.1.3.00.00- MATERIAIS"</f>
        <v>3.1.3.00.00- MATERIAIS</v>
      </c>
      <c r="B221" s="10">
        <v>695185.49</v>
      </c>
      <c r="C221" s="10">
        <v>79106.720000000001</v>
      </c>
      <c r="D221" s="10">
        <v>774292.21</v>
      </c>
    </row>
    <row r="222" spans="1:4" x14ac:dyDescent="0.25">
      <c r="A222" s="2" t="str">
        <f>"3.1.3.00.01- Bens de natureza permanente"</f>
        <v>3.1.3.00.01- Bens de natureza permanente</v>
      </c>
      <c r="B222" s="10">
        <v>9655.48</v>
      </c>
      <c r="C222" s="10">
        <v>0</v>
      </c>
      <c r="D222" s="10">
        <v>9655.48</v>
      </c>
    </row>
    <row r="223" spans="1:4" x14ac:dyDescent="0.25">
      <c r="A223" s="2" t="str">
        <f>"3.1.3.00.02- Lampadas e transformadores"</f>
        <v>3.1.3.00.02- Lampadas e transformadores</v>
      </c>
      <c r="B223" s="10">
        <v>27303.7</v>
      </c>
      <c r="C223" s="10">
        <v>0</v>
      </c>
      <c r="D223" s="10">
        <v>27303.7</v>
      </c>
    </row>
    <row r="224" spans="1:4" x14ac:dyDescent="0.25">
      <c r="A224" s="2" t="str">
        <f>"3.1.3.00.05- Placas/acessorios/mat.fixacao"</f>
        <v>3.1.3.00.05- Placas/acessorios/mat.fixacao</v>
      </c>
      <c r="B224" s="10">
        <v>605</v>
      </c>
      <c r="C224" s="10">
        <v>0</v>
      </c>
      <c r="D224" s="10">
        <v>605</v>
      </c>
    </row>
    <row r="225" spans="1:4" x14ac:dyDescent="0.25">
      <c r="A225" s="2" t="str">
        <f>"3.1.3.00.08- Material seguranca e uniformes"</f>
        <v>3.1.3.00.08- Material seguranca e uniformes</v>
      </c>
      <c r="B225" s="10">
        <v>5072.6400000000003</v>
      </c>
      <c r="C225" s="10">
        <v>394.74</v>
      </c>
      <c r="D225" s="10">
        <v>5467.38</v>
      </c>
    </row>
    <row r="226" spans="1:4" x14ac:dyDescent="0.25">
      <c r="A226" s="2" t="str">
        <f>"3.1.3.00.09- Material limp/conserv/copa/cozin"</f>
        <v>3.1.3.00.09- Material limp/conserv/copa/cozin</v>
      </c>
      <c r="B226" s="10">
        <v>108790.91</v>
      </c>
      <c r="C226" s="10">
        <v>13062.68</v>
      </c>
      <c r="D226" s="10">
        <v>121853.59</v>
      </c>
    </row>
    <row r="227" spans="1:4" x14ac:dyDescent="0.25">
      <c r="A227" s="2" t="str">
        <f>"3.1.3.00.10- Impressos e material de escritorio"</f>
        <v>3.1.3.00.10- Impressos e material de escritorio</v>
      </c>
      <c r="B227" s="10">
        <v>111530.88</v>
      </c>
      <c r="C227" s="10">
        <v>14514.7</v>
      </c>
      <c r="D227" s="10">
        <v>126045.58</v>
      </c>
    </row>
    <row r="228" spans="1:4" x14ac:dyDescent="0.25">
      <c r="A228" s="2" t="str">
        <f>"3.1.3.00.11- Materiais manut. inst. prediais"</f>
        <v>3.1.3.00.11- Materiais manut. inst. prediais</v>
      </c>
      <c r="B228" s="10">
        <v>182284.23</v>
      </c>
      <c r="C228" s="10">
        <v>29334.59</v>
      </c>
      <c r="D228" s="10">
        <v>211618.82</v>
      </c>
    </row>
    <row r="229" spans="1:4" x14ac:dyDescent="0.25">
      <c r="A229" s="2" t="str">
        <f>"3.1.3.00.12- Carnes estacionamento rotativo"</f>
        <v>3.1.3.00.12- Carnes estacionamento rotativo</v>
      </c>
      <c r="B229" s="10">
        <v>208252.58</v>
      </c>
      <c r="C229" s="10">
        <v>16371.39</v>
      </c>
      <c r="D229" s="10">
        <v>224623.97</v>
      </c>
    </row>
    <row r="230" spans="1:4" x14ac:dyDescent="0.25">
      <c r="A230" s="2" t="str">
        <f>"3.1.3.00.15- Materiais e supriment informatic"</f>
        <v>3.1.3.00.15- Materiais e supriment informatic</v>
      </c>
      <c r="B230" s="10">
        <v>26210.62</v>
      </c>
      <c r="C230" s="10">
        <v>2240.62</v>
      </c>
      <c r="D230" s="10">
        <v>28451.24</v>
      </c>
    </row>
    <row r="231" spans="1:4" x14ac:dyDescent="0.25">
      <c r="A231" s="2" t="str">
        <f>"3.1.3.00.17- Comb./lubrificantes"</f>
        <v>3.1.3.00.17- Comb./lubrificantes</v>
      </c>
      <c r="B231" s="10">
        <v>2207.25</v>
      </c>
      <c r="C231" s="10">
        <v>0</v>
      </c>
      <c r="D231" s="10">
        <v>2207.25</v>
      </c>
    </row>
    <row r="232" spans="1:4" x14ac:dyDescent="0.25">
      <c r="A232" s="2" t="str">
        <f>"3.1.3.00.18- Livros/jornais/rev./publicacoes"</f>
        <v>3.1.3.00.18- Livros/jornais/rev./publicacoes</v>
      </c>
      <c r="B232" s="10">
        <v>1447.2</v>
      </c>
      <c r="C232" s="10">
        <v>0</v>
      </c>
      <c r="D232" s="10">
        <v>1447.2</v>
      </c>
    </row>
    <row r="233" spans="1:4" x14ac:dyDescent="0.25">
      <c r="A233" s="2" t="str">
        <f>"3.1.3.00.99- Outros materiais"</f>
        <v>3.1.3.00.99- Outros materiais</v>
      </c>
      <c r="B233" s="10">
        <v>11825</v>
      </c>
      <c r="C233" s="10">
        <v>3188</v>
      </c>
      <c r="D233" s="10">
        <v>15013</v>
      </c>
    </row>
    <row r="234" spans="1:4" x14ac:dyDescent="0.25">
      <c r="A234" s="2" t="str">
        <f>"3.1.4.00.00- SERVICOS PRESTADOS POR TERCEIROS"</f>
        <v>3.1.4.00.00- SERVICOS PRESTADOS POR TERCEIROS</v>
      </c>
      <c r="B234" s="10">
        <v>15391276.630000001</v>
      </c>
      <c r="C234" s="10">
        <v>1961665.51</v>
      </c>
      <c r="D234" s="10">
        <v>17352942.140000001</v>
      </c>
    </row>
    <row r="235" spans="1:4" x14ac:dyDescent="0.25">
      <c r="A235" s="2" t="str">
        <f>"3.1.4.00.03- Locacao de equipamentos"</f>
        <v>3.1.4.00.03- Locacao de equipamentos</v>
      </c>
      <c r="B235" s="10">
        <v>50601.599999999999</v>
      </c>
      <c r="C235" s="10">
        <v>0</v>
      </c>
      <c r="D235" s="10">
        <v>50601.599999999999</v>
      </c>
    </row>
    <row r="236" spans="1:4" x14ac:dyDescent="0.25">
      <c r="A236" s="2" t="str">
        <f>"3.1.4.00.08- Servicos de auditoria"</f>
        <v>3.1.4.00.08- Servicos de auditoria</v>
      </c>
      <c r="B236" s="10">
        <v>29083.3</v>
      </c>
      <c r="C236" s="10">
        <v>2908.33</v>
      </c>
      <c r="D236" s="10">
        <v>31991.63</v>
      </c>
    </row>
    <row r="237" spans="1:4" x14ac:dyDescent="0.25">
      <c r="A237" s="2" t="str">
        <f>"3.1.4.00.10- Mao de obra contratada"</f>
        <v>3.1.4.00.10- Mao de obra contratada</v>
      </c>
      <c r="B237" s="10">
        <v>456894.96</v>
      </c>
      <c r="C237" s="10">
        <v>141230.57</v>
      </c>
      <c r="D237" s="10">
        <v>598125.53</v>
      </c>
    </row>
    <row r="238" spans="1:4" x14ac:dyDescent="0.25">
      <c r="A238" s="2" t="str">
        <f>"3.1.4.00.12- Reprod. Xerografica/Heliografica"</f>
        <v>3.1.4.00.12- Reprod. Xerografica/Heliografica</v>
      </c>
      <c r="B238" s="10">
        <v>-2.5</v>
      </c>
      <c r="C238" s="10">
        <v>-3285.46</v>
      </c>
      <c r="D238" s="10">
        <v>-3287.96</v>
      </c>
    </row>
    <row r="239" spans="1:4" x14ac:dyDescent="0.25">
      <c r="A239" s="2" t="str">
        <f>"3.1.4.00.13- Publicidade e divulgacao"</f>
        <v>3.1.4.00.13- Publicidade e divulgacao</v>
      </c>
      <c r="B239" s="10">
        <v>96256.53</v>
      </c>
      <c r="C239" s="10">
        <v>12044</v>
      </c>
      <c r="D239" s="10">
        <v>108300.53</v>
      </c>
    </row>
    <row r="240" spans="1:4" x14ac:dyDescent="0.25">
      <c r="A240" s="2" t="str">
        <f>"3.1.4.00.14- Informatica-serv. e/ou locacao"</f>
        <v>3.1.4.00.14- Informatica-serv. e/ou locacao</v>
      </c>
      <c r="B240" s="10">
        <v>1074077.75</v>
      </c>
      <c r="C240" s="10">
        <v>132077.17000000001</v>
      </c>
      <c r="D240" s="10">
        <v>1206154.92</v>
      </c>
    </row>
    <row r="241" spans="1:4" x14ac:dyDescent="0.25">
      <c r="A241" s="2" t="str">
        <f>"3.1.4.00.15- Outros serv. prestados - PF"</f>
        <v>3.1.4.00.15- Outros serv. prestados - PF</v>
      </c>
      <c r="B241" s="10">
        <v>68318.94</v>
      </c>
      <c r="C241" s="10">
        <v>9827.2000000000007</v>
      </c>
      <c r="D241" s="10">
        <v>78146.14</v>
      </c>
    </row>
    <row r="242" spans="1:4" x14ac:dyDescent="0.25">
      <c r="A242" s="2" t="str">
        <f>"3.1.4.00.16- Outros serv. Prestados - PJ"</f>
        <v>3.1.4.00.16- Outros serv. Prestados - PJ</v>
      </c>
      <c r="B242" s="10">
        <v>154399.79999999999</v>
      </c>
      <c r="C242" s="10">
        <v>90788.1</v>
      </c>
      <c r="D242" s="10">
        <v>245187.9</v>
      </c>
    </row>
    <row r="243" spans="1:4" x14ac:dyDescent="0.25">
      <c r="A243" s="2" t="str">
        <f>"3.1.4.00.17- Servicos postais"</f>
        <v>3.1.4.00.17- Servicos postais</v>
      </c>
      <c r="B243" s="10">
        <v>39418.5</v>
      </c>
      <c r="C243" s="10">
        <v>5051.8900000000003</v>
      </c>
      <c r="D243" s="10">
        <v>44470.39</v>
      </c>
    </row>
    <row r="244" spans="1:4" x14ac:dyDescent="0.25">
      <c r="A244" s="2" t="str">
        <f>"3.1.4.00.18- INSS s/servicos de terceiros"</f>
        <v>3.1.4.00.18- INSS s/servicos de terceiros</v>
      </c>
      <c r="B244" s="10">
        <v>18279.900000000001</v>
      </c>
      <c r="C244" s="10">
        <v>2320.75</v>
      </c>
      <c r="D244" s="10">
        <v>20600.650000000001</v>
      </c>
    </row>
    <row r="245" spans="1:4" x14ac:dyDescent="0.25">
      <c r="A245" s="2" t="str">
        <f>"3.1.4.00.19- Manut. imoveis/instal/equip.oper"</f>
        <v>3.1.4.00.19- Manut. imoveis/instal/equip.oper</v>
      </c>
      <c r="B245" s="10">
        <v>333708.43</v>
      </c>
      <c r="C245" s="10">
        <v>23049.82</v>
      </c>
      <c r="D245" s="10">
        <v>356758.25</v>
      </c>
    </row>
    <row r="246" spans="1:4" x14ac:dyDescent="0.25">
      <c r="A246" s="2" t="str">
        <f>"3.1.4.00.21- Manut. moveis e equip. Escritorio"</f>
        <v>3.1.4.00.21- Manut. moveis e equip. Escritorio</v>
      </c>
      <c r="B246" s="10">
        <v>490</v>
      </c>
      <c r="C246" s="10">
        <v>0</v>
      </c>
      <c r="D246" s="10">
        <v>490</v>
      </c>
    </row>
    <row r="247" spans="1:4" x14ac:dyDescent="0.25">
      <c r="A247" s="2" t="str">
        <f>"3.1.4.00.22- Consultoria tec.Operacional"</f>
        <v>3.1.4.00.22- Consultoria tec.Operacional</v>
      </c>
      <c r="B247" s="10">
        <v>2800</v>
      </c>
      <c r="C247" s="10">
        <v>0</v>
      </c>
      <c r="D247" s="10">
        <v>2800</v>
      </c>
    </row>
    <row r="248" spans="1:4" x14ac:dyDescent="0.25">
      <c r="A248" s="2" t="str">
        <f>"3.1.4.00.24- Loc.serv.mensageiro"</f>
        <v>3.1.4.00.24- Loc.serv.mensageiro</v>
      </c>
      <c r="B248" s="10">
        <v>26830.57</v>
      </c>
      <c r="C248" s="10">
        <v>4100.07</v>
      </c>
      <c r="D248" s="10">
        <v>30930.639999999999</v>
      </c>
    </row>
    <row r="249" spans="1:4" x14ac:dyDescent="0.25">
      <c r="A249" s="2" t="str">
        <f>"3.1.4.00.26- Serv.limp.conserv."</f>
        <v>3.1.4.00.26- Serv.limp.conserv.</v>
      </c>
      <c r="B249" s="10">
        <v>12325999.630000001</v>
      </c>
      <c r="C249" s="10">
        <v>1415178.34</v>
      </c>
      <c r="D249" s="10">
        <v>13741177.970000001</v>
      </c>
    </row>
    <row r="250" spans="1:4" x14ac:dyDescent="0.25">
      <c r="A250" s="2" t="str">
        <f>"3.1.4.00.29- Servicos pesquisa"</f>
        <v>3.1.4.00.29- Servicos pesquisa</v>
      </c>
      <c r="B250" s="10">
        <v>10945.41</v>
      </c>
      <c r="C250" s="10">
        <v>0</v>
      </c>
      <c r="D250" s="10">
        <v>10945.41</v>
      </c>
    </row>
    <row r="251" spans="1:4" x14ac:dyDescent="0.25">
      <c r="A251" s="2" t="str">
        <f>"3.1.4.00.34- Comissao s/venda rotativo"</f>
        <v>3.1.4.00.34- Comissao s/venda rotativo</v>
      </c>
      <c r="B251" s="10">
        <v>443581.97</v>
      </c>
      <c r="C251" s="10">
        <v>38135.629999999997</v>
      </c>
      <c r="D251" s="10">
        <v>481717.6</v>
      </c>
    </row>
    <row r="252" spans="1:4" x14ac:dyDescent="0.25">
      <c r="A252" s="2" t="str">
        <f>"3.1.4.00.36- (-) Desconto ISSQN conf Lei 9145 serv. P"</f>
        <v>3.1.4.00.36- (-) Desconto ISSQN conf Lei 9145 serv. P</v>
      </c>
      <c r="B252" s="10">
        <v>-466370.05</v>
      </c>
      <c r="C252" s="10">
        <v>-91579.03</v>
      </c>
      <c r="D252" s="10">
        <v>-557949.07999999996</v>
      </c>
    </row>
    <row r="253" spans="1:4" x14ac:dyDescent="0.25">
      <c r="A253" s="2" t="str">
        <f>"3.1.4.00.39- Convênio Guarda Municipal"</f>
        <v>3.1.4.00.39- Convênio Guarda Municipal</v>
      </c>
      <c r="B253" s="10">
        <v>725961.89</v>
      </c>
      <c r="C253" s="10">
        <v>179818.13</v>
      </c>
      <c r="D253" s="10">
        <v>905780.02</v>
      </c>
    </row>
    <row r="254" spans="1:4" x14ac:dyDescent="0.25">
      <c r="A254" s="2" t="str">
        <f>"3.1.5.00.00- TARIFAS PUBLICAS"</f>
        <v>3.1.5.00.00- TARIFAS PUBLICAS</v>
      </c>
      <c r="B254" s="10">
        <v>821801.05</v>
      </c>
      <c r="C254" s="10">
        <v>95011.87</v>
      </c>
      <c r="D254" s="10">
        <v>916812.92</v>
      </c>
    </row>
    <row r="255" spans="1:4" x14ac:dyDescent="0.25">
      <c r="A255" s="2" t="str">
        <f>"3.1.5.00.02- Energia eletrica"</f>
        <v>3.1.5.00.02- Energia eletrica</v>
      </c>
      <c r="B255" s="10">
        <v>596013.46</v>
      </c>
      <c r="C255" s="10">
        <v>65925.94</v>
      </c>
      <c r="D255" s="10">
        <v>661939.4</v>
      </c>
    </row>
    <row r="256" spans="1:4" x14ac:dyDescent="0.25">
      <c r="A256" s="2" t="str">
        <f>"3.1.5.00.03- Telefone"</f>
        <v>3.1.5.00.03- Telefone</v>
      </c>
      <c r="B256" s="10">
        <v>225787.59</v>
      </c>
      <c r="C256" s="10">
        <v>29085.93</v>
      </c>
      <c r="D256" s="10">
        <v>254873.52</v>
      </c>
    </row>
    <row r="257" spans="1:4" x14ac:dyDescent="0.25">
      <c r="A257" s="2" t="str">
        <f>"3.1.6.00.00- DESPESAS TRIBUTARIAS"</f>
        <v>3.1.6.00.00- DESPESAS TRIBUTARIAS</v>
      </c>
      <c r="B257" s="10">
        <v>1884158.01</v>
      </c>
      <c r="C257" s="10">
        <v>312462.8</v>
      </c>
      <c r="D257" s="10">
        <v>2196620.81</v>
      </c>
    </row>
    <row r="258" spans="1:4" x14ac:dyDescent="0.25">
      <c r="A258" s="2" t="str">
        <f>"3.1.6.00.01- Taxas legais"</f>
        <v>3.1.6.00.01- Taxas legais</v>
      </c>
      <c r="B258" s="10">
        <v>21656.1</v>
      </c>
      <c r="C258" s="10">
        <v>1118.56</v>
      </c>
      <c r="D258" s="10">
        <v>22774.66</v>
      </c>
    </row>
    <row r="259" spans="1:4" x14ac:dyDescent="0.25">
      <c r="A259" s="2" t="str">
        <f>"3.1.6.00.03- IOF"</f>
        <v>3.1.6.00.03- IOF</v>
      </c>
      <c r="B259" s="10">
        <v>1178</v>
      </c>
      <c r="C259" s="10">
        <v>0</v>
      </c>
      <c r="D259" s="10">
        <v>1178</v>
      </c>
    </row>
    <row r="260" spans="1:4" x14ac:dyDescent="0.25">
      <c r="A260" s="2" t="str">
        <f>"3.1.6.00.06- PIS"</f>
        <v>3.1.6.00.06- PIS</v>
      </c>
      <c r="B260" s="10">
        <v>319827.93</v>
      </c>
      <c r="C260" s="10">
        <v>54652.78</v>
      </c>
      <c r="D260" s="10">
        <v>374480.71</v>
      </c>
    </row>
    <row r="261" spans="1:4" x14ac:dyDescent="0.25">
      <c r="A261" s="2" t="str">
        <f>"3.1.6.00.07- COFINS"</f>
        <v>3.1.6.00.07- COFINS</v>
      </c>
      <c r="B261" s="10">
        <v>1473146.84</v>
      </c>
      <c r="C261" s="10">
        <v>251734</v>
      </c>
      <c r="D261" s="10">
        <v>1724880.84</v>
      </c>
    </row>
    <row r="262" spans="1:4" x14ac:dyDescent="0.25">
      <c r="A262" s="2" t="str">
        <f>"3.1.6.00.08- Multas indedutiveis"</f>
        <v>3.1.6.00.08- Multas indedutiveis</v>
      </c>
      <c r="B262" s="10">
        <v>0.84</v>
      </c>
      <c r="C262" s="10">
        <v>0</v>
      </c>
      <c r="D262" s="10">
        <v>0.84</v>
      </c>
    </row>
    <row r="263" spans="1:4" x14ac:dyDescent="0.25">
      <c r="A263" s="2" t="str">
        <f>"3.1.6.00.10- ISS s/faturamento"</f>
        <v>3.1.6.00.10- ISS s/faturamento</v>
      </c>
      <c r="B263" s="10">
        <v>16602.89</v>
      </c>
      <c r="C263" s="10">
        <v>561.12</v>
      </c>
      <c r="D263" s="10">
        <v>17164.009999999998</v>
      </c>
    </row>
    <row r="264" spans="1:4" x14ac:dyDescent="0.25">
      <c r="A264" s="2" t="str">
        <f>"3.1.6.00.14- Contrib.entid.classe"</f>
        <v>3.1.6.00.14- Contrib.entid.classe</v>
      </c>
      <c r="B264" s="10">
        <v>22800.86</v>
      </c>
      <c r="C264" s="10">
        <v>0</v>
      </c>
      <c r="D264" s="10">
        <v>22800.86</v>
      </c>
    </row>
    <row r="265" spans="1:4" x14ac:dyDescent="0.25">
      <c r="A265" s="2" t="str">
        <f>"3.1.6.00.15- INSS Serv.terceiros"</f>
        <v>3.1.6.00.15- INSS Serv.terceiros</v>
      </c>
      <c r="B265" s="10">
        <v>15064.89</v>
      </c>
      <c r="C265" s="10">
        <v>1965.44</v>
      </c>
      <c r="D265" s="10">
        <v>17030.330000000002</v>
      </c>
    </row>
    <row r="266" spans="1:4" x14ac:dyDescent="0.25">
      <c r="A266" s="2" t="str">
        <f>"3.1.6.00.17- PIS s/ receitas financeiras"</f>
        <v>3.1.6.00.17- PIS s/ receitas financeiras</v>
      </c>
      <c r="B266" s="10">
        <v>1940.17</v>
      </c>
      <c r="C266" s="10">
        <v>339.8</v>
      </c>
      <c r="D266" s="10">
        <v>2279.9699999999998</v>
      </c>
    </row>
    <row r="267" spans="1:4" x14ac:dyDescent="0.25">
      <c r="A267" s="2" t="str">
        <f>"3.1.6.00.18- Cofins s/ receitas financeiras"</f>
        <v>3.1.6.00.18- Cofins s/ receitas financeiras</v>
      </c>
      <c r="B267" s="10">
        <v>11939.49</v>
      </c>
      <c r="C267" s="10">
        <v>2091.1</v>
      </c>
      <c r="D267" s="10">
        <v>14030.59</v>
      </c>
    </row>
    <row r="268" spans="1:4" x14ac:dyDescent="0.25">
      <c r="A268" s="2" t="str">
        <f>"3.1.7.00.00- DESPESAS FINANCEIRAS"</f>
        <v>3.1.7.00.00- DESPESAS FINANCEIRAS</v>
      </c>
      <c r="B268" s="10">
        <v>499128.64</v>
      </c>
      <c r="C268" s="10">
        <v>5846.18</v>
      </c>
      <c r="D268" s="10">
        <v>504974.82</v>
      </c>
    </row>
    <row r="269" spans="1:4" x14ac:dyDescent="0.25">
      <c r="A269" s="2" t="str">
        <f>"3.1.7.01.01- Juros passivos curto prazo"</f>
        <v>3.1.7.01.01- Juros passivos curto prazo</v>
      </c>
      <c r="B269" s="10">
        <v>488814.62</v>
      </c>
      <c r="C269" s="10">
        <v>4384.41</v>
      </c>
      <c r="D269" s="10">
        <v>493199.03</v>
      </c>
    </row>
    <row r="270" spans="1:4" x14ac:dyDescent="0.25">
      <c r="A270" s="2" t="str">
        <f>"3.1.7.01.02- Despesas bancarias"</f>
        <v>3.1.7.01.02- Despesas bancarias</v>
      </c>
      <c r="B270" s="10">
        <v>10314.02</v>
      </c>
      <c r="C270" s="10">
        <v>1461.77</v>
      </c>
      <c r="D270" s="10">
        <v>11775.79</v>
      </c>
    </row>
    <row r="271" spans="1:4" x14ac:dyDescent="0.25">
      <c r="A271" s="2" t="str">
        <f>"3.1.8.00.00- OUTRAS DESPESAS"</f>
        <v>3.1.8.00.00- OUTRAS DESPESAS</v>
      </c>
      <c r="B271" s="10">
        <v>3071796.72</v>
      </c>
      <c r="C271" s="10">
        <v>313558.87</v>
      </c>
      <c r="D271" s="10">
        <v>3385355.59</v>
      </c>
    </row>
    <row r="272" spans="1:4" x14ac:dyDescent="0.25">
      <c r="A272" s="2" t="str">
        <f>"3.1.8.00.01- Despesas de viagem"</f>
        <v>3.1.8.00.01- Despesas de viagem</v>
      </c>
      <c r="B272" s="10">
        <v>55587.94</v>
      </c>
      <c r="C272" s="10">
        <v>11287.32</v>
      </c>
      <c r="D272" s="10">
        <v>66875.259999999995</v>
      </c>
    </row>
    <row r="273" spans="1:4" x14ac:dyDescent="0.25">
      <c r="A273" s="2" t="str">
        <f>"3.1.8.00.05- Depreciacao/amort"</f>
        <v>3.1.8.00.05- Depreciacao/amort</v>
      </c>
      <c r="B273" s="10">
        <v>169760.17</v>
      </c>
      <c r="C273" s="10">
        <v>20813.43</v>
      </c>
      <c r="D273" s="10">
        <v>190573.6</v>
      </c>
    </row>
    <row r="274" spans="1:4" x14ac:dyDescent="0.25">
      <c r="A274" s="2" t="str">
        <f>"3.1.8.00.06- Seguros bens moveis e imoveis"</f>
        <v>3.1.8.00.06- Seguros bens moveis e imoveis</v>
      </c>
      <c r="B274" s="10">
        <v>6258.47</v>
      </c>
      <c r="C274" s="10">
        <v>2295.4</v>
      </c>
      <c r="D274" s="10">
        <v>8553.8700000000008</v>
      </c>
    </row>
    <row r="275" spans="1:4" x14ac:dyDescent="0.25">
      <c r="A275" s="2" t="str">
        <f>"3.1.8.00.08- Alugueis e condominio"</f>
        <v>3.1.8.00.08- Alugueis e condominio</v>
      </c>
      <c r="B275" s="10">
        <v>41091.440000000002</v>
      </c>
      <c r="C275" s="10">
        <v>5071.8100000000004</v>
      </c>
      <c r="D275" s="10">
        <v>46163.25</v>
      </c>
    </row>
    <row r="276" spans="1:4" x14ac:dyDescent="0.25">
      <c r="A276" s="2" t="str">
        <f>"3.1.8.00.09- Multas dedutiveis"</f>
        <v>3.1.8.00.09- Multas dedutiveis</v>
      </c>
      <c r="B276" s="10">
        <v>0</v>
      </c>
      <c r="C276" s="10">
        <v>55.93</v>
      </c>
      <c r="D276" s="10">
        <v>55.93</v>
      </c>
    </row>
    <row r="277" spans="1:4" x14ac:dyDescent="0.25">
      <c r="A277" s="2" t="str">
        <f>"3.1.8.00.12- Acoes judiciais terceiros"</f>
        <v>3.1.8.00.12- Acoes judiciais terceiros</v>
      </c>
      <c r="B277" s="10">
        <v>74117.039999999994</v>
      </c>
      <c r="C277" s="10">
        <v>882</v>
      </c>
      <c r="D277" s="10">
        <v>74999.039999999994</v>
      </c>
    </row>
    <row r="278" spans="1:4" x14ac:dyDescent="0.25">
      <c r="A278" s="2" t="str">
        <f>"3.1.8.00.16- Baixa de imobilizado"</f>
        <v>3.1.8.00.16- Baixa de imobilizado</v>
      </c>
      <c r="B278" s="10">
        <v>43459.94</v>
      </c>
      <c r="C278" s="10">
        <v>0</v>
      </c>
      <c r="D278" s="10">
        <v>43459.94</v>
      </c>
    </row>
    <row r="279" spans="1:4" x14ac:dyDescent="0.25">
      <c r="A279" s="2" t="str">
        <f>"3.1.8.00.17- Gastos com eventos e promocoes"</f>
        <v>3.1.8.00.17- Gastos com eventos e promocoes</v>
      </c>
      <c r="B279" s="10">
        <v>20493.759999999998</v>
      </c>
      <c r="C279" s="10">
        <v>0</v>
      </c>
      <c r="D279" s="10">
        <v>20493.759999999998</v>
      </c>
    </row>
    <row r="280" spans="1:4" x14ac:dyDescent="0.25">
      <c r="A280" s="2" t="str">
        <f>"3.1.8.00.18- Provisao para perdas"</f>
        <v>3.1.8.00.18- Provisao para perdas</v>
      </c>
      <c r="B280" s="10">
        <v>472731.68</v>
      </c>
      <c r="C280" s="10">
        <v>107188.69</v>
      </c>
      <c r="D280" s="10">
        <v>579920.37</v>
      </c>
    </row>
    <row r="281" spans="1:4" x14ac:dyDescent="0.25">
      <c r="A281" s="2" t="str">
        <f>"3.1.8.00.22- Perda tributos a recuperar"</f>
        <v>3.1.8.00.22- Perda tributos a recuperar</v>
      </c>
      <c r="B281" s="10">
        <v>1395955.29</v>
      </c>
      <c r="C281" s="10">
        <v>0</v>
      </c>
      <c r="D281" s="10">
        <v>1395955.29</v>
      </c>
    </row>
    <row r="282" spans="1:4" x14ac:dyDescent="0.25">
      <c r="A282" s="2" t="str">
        <f>"3.1.8.00.23- Custas/Despesas Judiciais"</f>
        <v>3.1.8.00.23- Custas/Despesas Judiciais</v>
      </c>
      <c r="B282" s="10">
        <v>64732.55</v>
      </c>
      <c r="C282" s="10">
        <v>44819.83</v>
      </c>
      <c r="D282" s="10">
        <v>109552.38</v>
      </c>
    </row>
    <row r="283" spans="1:4" x14ac:dyDescent="0.25">
      <c r="A283" s="2" t="str">
        <f>"3.1.8.00.30- Estacionamento Rotativo Digital"</f>
        <v>3.1.8.00.30- Estacionamento Rotativo Digital</v>
      </c>
      <c r="B283" s="10">
        <v>720661.8</v>
      </c>
      <c r="C283" s="10">
        <v>120110.3</v>
      </c>
      <c r="D283" s="10">
        <v>840772.1</v>
      </c>
    </row>
    <row r="284" spans="1:4" x14ac:dyDescent="0.25">
      <c r="A284" s="2" t="str">
        <f>"3.1.8.00.99- Despesas diversas"</f>
        <v>3.1.8.00.99- Despesas diversas</v>
      </c>
      <c r="B284" s="10">
        <v>6946.64</v>
      </c>
      <c r="C284" s="10">
        <v>1034.1600000000001</v>
      </c>
      <c r="D284" s="10">
        <v>7980.8</v>
      </c>
    </row>
    <row r="285" spans="1:4" x14ac:dyDescent="0.25">
      <c r="A285" s="2" t="str">
        <f>""</f>
        <v/>
      </c>
      <c r="B285" s="3" t="str">
        <f>""</f>
        <v/>
      </c>
      <c r="C285" s="3" t="str">
        <f>""</f>
        <v/>
      </c>
      <c r="D285" s="3" t="str">
        <f>""</f>
        <v/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"RECEITAS"</f>
        <v>RECEITAS</v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"4.0.0.00.00- RECEITAS"</f>
        <v>4.0.0.00.00- RECEITAS</v>
      </c>
      <c r="B296" s="10">
        <v>104445336.14</v>
      </c>
      <c r="C296" s="10">
        <v>13338278.970000001</v>
      </c>
      <c r="D296" s="10">
        <v>117783615.11</v>
      </c>
    </row>
    <row r="297" spans="1:4" x14ac:dyDescent="0.25">
      <c r="A297" s="2" t="str">
        <f>"4.1.0.00.00- RECEITAS BHTRANS"</f>
        <v>4.1.0.00.00- RECEITAS BHTRANS</v>
      </c>
      <c r="B297" s="10">
        <v>103172069.87</v>
      </c>
      <c r="C297" s="10">
        <v>13198179.060000001</v>
      </c>
      <c r="D297" s="10">
        <v>116370248.93000001</v>
      </c>
    </row>
    <row r="298" spans="1:4" x14ac:dyDescent="0.25">
      <c r="A298" s="2" t="str">
        <f>"4.1.1.00.00- RECEITAS OPERACIONAIS"</f>
        <v>4.1.1.00.00- RECEITAS OPERACIONAIS</v>
      </c>
      <c r="B298" s="10">
        <v>102699797.56</v>
      </c>
      <c r="C298" s="10">
        <v>13166201.189999999</v>
      </c>
      <c r="D298" s="10">
        <v>115865998.75</v>
      </c>
    </row>
    <row r="299" spans="1:4" x14ac:dyDescent="0.25">
      <c r="A299" s="2" t="str">
        <f>"4.1.1.00.05- Midia taxi, escolar e suplementar"</f>
        <v>4.1.1.00.05- Midia taxi, escolar e suplementar</v>
      </c>
      <c r="B299" s="10">
        <v>22722.17</v>
      </c>
      <c r="C299" s="10">
        <v>10361.08</v>
      </c>
      <c r="D299" s="10">
        <v>33083.25</v>
      </c>
    </row>
    <row r="300" spans="1:4" x14ac:dyDescent="0.25">
      <c r="A300" s="2" t="str">
        <f>"4.1.1.00.06- Midia em onibus"</f>
        <v>4.1.1.00.06- Midia em onibus</v>
      </c>
      <c r="B300" s="10">
        <v>460979.22</v>
      </c>
      <c r="C300" s="10">
        <v>0</v>
      </c>
      <c r="D300" s="10">
        <v>460979.22</v>
      </c>
    </row>
    <row r="301" spans="1:4" x14ac:dyDescent="0.25">
      <c r="A301" s="2" t="str">
        <f>"4.1.1.00.07- Midias diversas"</f>
        <v>4.1.1.00.07- Midias diversas</v>
      </c>
      <c r="B301" s="10">
        <v>70337.84</v>
      </c>
      <c r="C301" s="10">
        <v>8342.83</v>
      </c>
      <c r="D301" s="10">
        <v>78680.67</v>
      </c>
    </row>
    <row r="302" spans="1:4" x14ac:dyDescent="0.25">
      <c r="A302" s="2" t="str">
        <f>"4.1.1.00.08- Estacionamento Rotativo"</f>
        <v>4.1.1.00.08- Estacionamento Rotativo</v>
      </c>
      <c r="B302" s="10">
        <v>12445007.77</v>
      </c>
      <c r="C302" s="10">
        <v>956947.2</v>
      </c>
      <c r="D302" s="10">
        <v>13401954.970000001</v>
      </c>
    </row>
    <row r="303" spans="1:4" x14ac:dyDescent="0.25">
      <c r="A303" s="2" t="str">
        <f>"4.1.1.00.10- Transf. financeira PBH"</f>
        <v>4.1.1.00.10- Transf. financeira PBH</v>
      </c>
      <c r="B303" s="10">
        <v>84763337.829999998</v>
      </c>
      <c r="C303" s="10">
        <v>9973712.0800000001</v>
      </c>
      <c r="D303" s="10">
        <v>94737049.909999996</v>
      </c>
    </row>
    <row r="304" spans="1:4" x14ac:dyDescent="0.25">
      <c r="A304" s="2" t="str">
        <f>"4.1.1.00.16- Multas transporte coletivo"</f>
        <v>4.1.1.00.16- Multas transporte coletivo</v>
      </c>
      <c r="B304" s="10">
        <v>2363658.34</v>
      </c>
      <c r="C304" s="10">
        <v>535943.44999999995</v>
      </c>
      <c r="D304" s="10">
        <v>2899601.79</v>
      </c>
    </row>
    <row r="305" spans="1:4" x14ac:dyDescent="0.25">
      <c r="A305" s="2" t="str">
        <f>"4.1.1.00.17- Multas transporte publico"</f>
        <v>4.1.1.00.17- Multas transporte publico</v>
      </c>
      <c r="B305" s="10">
        <v>582781.27</v>
      </c>
      <c r="C305" s="10">
        <v>92986.3</v>
      </c>
      <c r="D305" s="10">
        <v>675767.57</v>
      </c>
    </row>
    <row r="306" spans="1:4" x14ac:dyDescent="0.25">
      <c r="A306" s="2" t="str">
        <f>"4.1.1.00.19- Subconcessao frotas de taxi"</f>
        <v>4.1.1.00.19- Subconcessao frotas de taxi</v>
      </c>
      <c r="B306" s="10">
        <v>614873.12</v>
      </c>
      <c r="C306" s="10">
        <v>122862.17</v>
      </c>
      <c r="D306" s="10">
        <v>737735.29</v>
      </c>
    </row>
    <row r="307" spans="1:4" x14ac:dyDescent="0.25">
      <c r="A307" s="2" t="str">
        <f>"4.1.1.00.21- Estacionamento Rotativo Digital"</f>
        <v>4.1.1.00.21- Estacionamento Rotativo Digital</v>
      </c>
      <c r="B307" s="10">
        <v>1376100</v>
      </c>
      <c r="C307" s="10">
        <v>1465046.08</v>
      </c>
      <c r="D307" s="10">
        <v>2841146.08</v>
      </c>
    </row>
    <row r="308" spans="1:4" x14ac:dyDescent="0.25">
      <c r="A308" s="2" t="str">
        <f>"4.1.8.00.00- RECEITAS ALUGUEIS ESTACOES"</f>
        <v>4.1.8.00.00- RECEITAS ALUGUEIS ESTACOES</v>
      </c>
      <c r="B308" s="10">
        <v>472272.31</v>
      </c>
      <c r="C308" s="10">
        <v>31977.87</v>
      </c>
      <c r="D308" s="10">
        <v>504250.18</v>
      </c>
    </row>
    <row r="309" spans="1:4" x14ac:dyDescent="0.25">
      <c r="A309" s="2" t="str">
        <f>"4.1.8.00.01- Alugueis Estacoes"</f>
        <v>4.1.8.00.01- Alugueis Estacoes</v>
      </c>
      <c r="B309" s="10">
        <v>472272.31</v>
      </c>
      <c r="C309" s="10">
        <v>31977.87</v>
      </c>
      <c r="D309" s="10">
        <v>504250.18</v>
      </c>
    </row>
    <row r="310" spans="1:4" x14ac:dyDescent="0.25">
      <c r="A310" s="2" t="str">
        <f>"4.2.0.00.00- RECEITAS FINANCEIRAS"</f>
        <v>4.2.0.00.00- RECEITAS FINANCEIRAS</v>
      </c>
      <c r="B310" s="10">
        <v>298487.39</v>
      </c>
      <c r="C310" s="10">
        <v>52277.45</v>
      </c>
      <c r="D310" s="10">
        <v>350764.84</v>
      </c>
    </row>
    <row r="311" spans="1:4" x14ac:dyDescent="0.25">
      <c r="A311" s="2" t="str">
        <f>"4.2.1.00.00- RECEITAS FINANCEIRAS"</f>
        <v>4.2.1.00.00- RECEITAS FINANCEIRAS</v>
      </c>
      <c r="B311" s="10">
        <v>298034.28000000003</v>
      </c>
      <c r="C311" s="10">
        <v>52227.35</v>
      </c>
      <c r="D311" s="10">
        <v>350261.63</v>
      </c>
    </row>
    <row r="312" spans="1:4" x14ac:dyDescent="0.25">
      <c r="A312" s="2" t="str">
        <f>"4.2.1.00.01- Rendimentos aplic. Financeira"</f>
        <v>4.2.1.00.01- Rendimentos aplic. Financeira</v>
      </c>
      <c r="B312" s="10">
        <v>291668.65999999997</v>
      </c>
      <c r="C312" s="10">
        <v>52227.34</v>
      </c>
      <c r="D312" s="10">
        <v>343896</v>
      </c>
    </row>
    <row r="313" spans="1:4" x14ac:dyDescent="0.25">
      <c r="A313" s="2" t="str">
        <f>"4.2.1.00.02- Juros ativos"</f>
        <v>4.2.1.00.02- Juros ativos</v>
      </c>
      <c r="B313" s="10">
        <v>1770.13</v>
      </c>
      <c r="C313" s="10">
        <v>0</v>
      </c>
      <c r="D313" s="10">
        <v>1770.13</v>
      </c>
    </row>
    <row r="314" spans="1:4" x14ac:dyDescent="0.25">
      <c r="A314" s="2" t="str">
        <f>"4.2.1.00.05- Receitas Financeiras - Convênio"</f>
        <v>4.2.1.00.05- Receitas Financeiras - Convênio</v>
      </c>
      <c r="B314" s="10">
        <v>4595.49</v>
      </c>
      <c r="C314" s="10">
        <v>0</v>
      </c>
      <c r="D314" s="10">
        <v>4595.49</v>
      </c>
    </row>
    <row r="315" spans="1:4" x14ac:dyDescent="0.25">
      <c r="A315" s="2" t="str">
        <f>"4.2.1.00.06- Descontos financeiros obtidos"</f>
        <v>4.2.1.00.06- Descontos financeiros obtidos</v>
      </c>
      <c r="B315" s="10">
        <v>0</v>
      </c>
      <c r="C315" s="10">
        <v>0.01</v>
      </c>
      <c r="D315" s="10">
        <v>0.01</v>
      </c>
    </row>
    <row r="316" spans="1:4" x14ac:dyDescent="0.25">
      <c r="A316" s="2" t="str">
        <f>"4.2.2.00.00- VARIACOES MONETARIAS ATIVAS"</f>
        <v>4.2.2.00.00- VARIACOES MONETARIAS ATIVAS</v>
      </c>
      <c r="B316" s="10">
        <v>453.11</v>
      </c>
      <c r="C316" s="10">
        <v>50.1</v>
      </c>
      <c r="D316" s="10">
        <v>503.21</v>
      </c>
    </row>
    <row r="317" spans="1:4" x14ac:dyDescent="0.25">
      <c r="A317" s="2" t="str">
        <f>"4.2.2.00.01- Variações monetárias ativas"</f>
        <v>4.2.2.00.01- Variações monetárias ativas</v>
      </c>
      <c r="B317" s="10">
        <v>453.11</v>
      </c>
      <c r="C317" s="10">
        <v>50.1</v>
      </c>
      <c r="D317" s="10">
        <v>503.21</v>
      </c>
    </row>
    <row r="318" spans="1:4" x14ac:dyDescent="0.25">
      <c r="A318" s="2" t="str">
        <f>"4.3.0.00.00- OUTRAS RECEITAS"</f>
        <v>4.3.0.00.00- OUTRAS RECEITAS</v>
      </c>
      <c r="B318" s="10">
        <v>974778.88</v>
      </c>
      <c r="C318" s="10">
        <v>87822.46</v>
      </c>
      <c r="D318" s="10">
        <v>1062601.3400000001</v>
      </c>
    </row>
    <row r="319" spans="1:4" x14ac:dyDescent="0.25">
      <c r="A319" s="2" t="str">
        <f>"4.3.1.00.00- OUTRAS RECEITAS"</f>
        <v>4.3.1.00.00- OUTRAS RECEITAS</v>
      </c>
      <c r="B319" s="10">
        <v>974778.88</v>
      </c>
      <c r="C319" s="10">
        <v>87822.46</v>
      </c>
      <c r="D319" s="10">
        <v>1062601.3400000001</v>
      </c>
    </row>
    <row r="320" spans="1:4" x14ac:dyDescent="0.25">
      <c r="A320" s="2" t="str">
        <f>"4.3.1.00.02- Doacoes"</f>
        <v>4.3.1.00.02- Doacoes</v>
      </c>
      <c r="B320" s="10">
        <v>54589</v>
      </c>
      <c r="C320" s="10">
        <v>0</v>
      </c>
      <c r="D320" s="10">
        <v>54589</v>
      </c>
    </row>
    <row r="321" spans="1:4" x14ac:dyDescent="0.25">
      <c r="A321" s="2" t="str">
        <f>"4.3.1.00.04- Receitas Diversas"</f>
        <v>4.3.1.00.04- Receitas Diversas</v>
      </c>
      <c r="B321" s="10">
        <v>694911.15</v>
      </c>
      <c r="C321" s="10">
        <v>62335.81</v>
      </c>
      <c r="D321" s="10">
        <v>757246.96</v>
      </c>
    </row>
    <row r="322" spans="1:4" x14ac:dyDescent="0.25">
      <c r="A322" s="2" t="str">
        <f>"4.3.1.00.07- Concessão de Abrigo de ônibus"</f>
        <v>4.3.1.00.07- Concessão de Abrigo de ônibus</v>
      </c>
      <c r="B322" s="10">
        <v>225278.73</v>
      </c>
      <c r="C322" s="10">
        <v>25486.65</v>
      </c>
      <c r="D322" s="10">
        <v>250765.38</v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ht="15.75" thickBot="1" x14ac:dyDescent="0.3">
      <c r="A347" s="4" t="str">
        <f>"APURACAO DE RESULTADOS"</f>
        <v>APURACAO DE RESULTADOS</v>
      </c>
      <c r="B347" s="5" t="str">
        <f>""</f>
        <v/>
      </c>
      <c r="C347" s="5" t="str">
        <f>""</f>
        <v/>
      </c>
      <c r="D347" s="5" t="str">
        <f>""</f>
        <v/>
      </c>
    </row>
    <row r="348" spans="1:4" x14ac:dyDescent="0.25">
      <c r="A348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01 2018</vt:lpstr>
      <vt:lpstr>02 2018</vt:lpstr>
      <vt:lpstr>03 2018</vt:lpstr>
      <vt:lpstr>04 2018</vt:lpstr>
      <vt:lpstr>05 2018</vt:lpstr>
      <vt:lpstr>06 2018</vt:lpstr>
      <vt:lpstr>07 2018</vt:lpstr>
      <vt:lpstr>08 2018</vt:lpstr>
      <vt:lpstr>09 2018</vt:lpstr>
      <vt:lpstr>10 2018</vt:lpstr>
      <vt:lpstr>11 2018</vt:lpstr>
      <vt:lpstr>12 2018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NERY SCHWARCZ BT002091</dc:creator>
  <cp:lastModifiedBy>ALISSON LUIS SARLO BALISA</cp:lastModifiedBy>
  <dcterms:created xsi:type="dcterms:W3CDTF">2020-01-03T17:16:41Z</dcterms:created>
  <dcterms:modified xsi:type="dcterms:W3CDTF">2021-06-01T14:26:50Z</dcterms:modified>
</cp:coreProperties>
</file>