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002061\Downloads\"/>
    </mc:Choice>
  </mc:AlternateContent>
  <bookViews>
    <workbookView xWindow="360" yWindow="135" windowWidth="20940" windowHeight="11895"/>
  </bookViews>
  <sheets>
    <sheet name="01 2017" sheetId="1" r:id="rId1"/>
    <sheet name="02 2017" sheetId="2" r:id="rId2"/>
    <sheet name="03 2017" sheetId="3" r:id="rId3"/>
    <sheet name="04 2017" sheetId="4" r:id="rId4"/>
    <sheet name="05 2017" sheetId="5" r:id="rId5"/>
    <sheet name="06 2017" sheetId="6" r:id="rId6"/>
    <sheet name="07 2017" sheetId="7" r:id="rId7"/>
    <sheet name="08 2017" sheetId="8" r:id="rId8"/>
    <sheet name="09 2017" sheetId="9" r:id="rId9"/>
    <sheet name="10 2017" sheetId="10" r:id="rId10"/>
    <sheet name="11 2017" sheetId="11" r:id="rId11"/>
    <sheet name="12 2017" sheetId="12" r:id="rId12"/>
  </sheets>
  <calcPr calcId="162913"/>
</workbook>
</file>

<file path=xl/calcChain.xml><?xml version="1.0" encoding="utf-8"?>
<calcChain xmlns="http://schemas.openxmlformats.org/spreadsheetml/2006/main">
  <c r="D351" i="12" l="1"/>
  <c r="C351" i="12"/>
  <c r="B351" i="12"/>
  <c r="A351" i="12"/>
  <c r="D350" i="12"/>
  <c r="C350" i="12"/>
  <c r="B350" i="12"/>
  <c r="A350" i="12"/>
  <c r="D349" i="12"/>
  <c r="C349" i="12"/>
  <c r="B349" i="12"/>
  <c r="A349" i="12"/>
  <c r="D348" i="12"/>
  <c r="C348" i="12"/>
  <c r="B348" i="12"/>
  <c r="A348" i="12"/>
  <c r="D347" i="12"/>
  <c r="C347" i="12"/>
  <c r="B347" i="12"/>
  <c r="A347" i="12"/>
  <c r="D346" i="12"/>
  <c r="C346" i="12"/>
  <c r="B346" i="12"/>
  <c r="A346" i="12"/>
  <c r="D345" i="12"/>
  <c r="C345" i="12"/>
  <c r="B345" i="12"/>
  <c r="A345" i="12"/>
  <c r="D344" i="12"/>
  <c r="C344" i="12"/>
  <c r="B344" i="12"/>
  <c r="A344" i="12"/>
  <c r="D343" i="12"/>
  <c r="C343" i="12"/>
  <c r="B343" i="12"/>
  <c r="A343" i="12"/>
  <c r="D342" i="12"/>
  <c r="C342" i="12"/>
  <c r="B342" i="12"/>
  <c r="A342" i="12"/>
  <c r="D341" i="12"/>
  <c r="C341" i="12"/>
  <c r="B341" i="12"/>
  <c r="A341" i="12"/>
  <c r="D340" i="12"/>
  <c r="C340" i="12"/>
  <c r="B340" i="12"/>
  <c r="A340" i="12"/>
  <c r="D339" i="12"/>
  <c r="C339" i="12"/>
  <c r="B339" i="12"/>
  <c r="A339" i="12"/>
  <c r="D338" i="12"/>
  <c r="C338" i="12"/>
  <c r="B338" i="12"/>
  <c r="A338" i="12"/>
  <c r="D337" i="12"/>
  <c r="C337" i="12"/>
  <c r="B337" i="12"/>
  <c r="A337" i="12"/>
  <c r="D336" i="12"/>
  <c r="C336" i="12"/>
  <c r="B336" i="12"/>
  <c r="A336" i="12"/>
  <c r="D335" i="12"/>
  <c r="C335" i="12"/>
  <c r="B335" i="12"/>
  <c r="A335" i="12"/>
  <c r="D334" i="12"/>
  <c r="C334" i="12"/>
  <c r="B334" i="12"/>
  <c r="A334" i="12"/>
  <c r="D333" i="12"/>
  <c r="C333" i="12"/>
  <c r="B333" i="12"/>
  <c r="A333" i="12"/>
  <c r="D332" i="12"/>
  <c r="C332" i="12"/>
  <c r="B332" i="12"/>
  <c r="A332" i="12"/>
  <c r="D331" i="12"/>
  <c r="C331" i="12"/>
  <c r="B331" i="12"/>
  <c r="A331" i="12"/>
  <c r="D330" i="12"/>
  <c r="C330" i="12"/>
  <c r="B330" i="12"/>
  <c r="A330" i="12"/>
  <c r="D329" i="12"/>
  <c r="C329" i="12"/>
  <c r="B329" i="12"/>
  <c r="A329" i="12"/>
  <c r="D328" i="12"/>
  <c r="C328" i="12"/>
  <c r="B328" i="12"/>
  <c r="A328" i="12"/>
  <c r="D327" i="12"/>
  <c r="C327" i="12"/>
  <c r="B327" i="12"/>
  <c r="A327" i="12"/>
  <c r="A326" i="12"/>
  <c r="A325" i="12"/>
  <c r="A324" i="12"/>
  <c r="A323" i="12"/>
  <c r="A322" i="12"/>
  <c r="A321" i="12"/>
  <c r="A320" i="12"/>
  <c r="A319" i="12"/>
  <c r="A318" i="12"/>
  <c r="A317" i="12"/>
  <c r="A316" i="12"/>
  <c r="A315" i="12"/>
  <c r="A314" i="12"/>
  <c r="A313" i="12"/>
  <c r="A312" i="12"/>
  <c r="A311" i="12"/>
  <c r="A310" i="12"/>
  <c r="A309" i="12"/>
  <c r="A308" i="12"/>
  <c r="A307" i="12"/>
  <c r="A306" i="12"/>
  <c r="A305" i="12"/>
  <c r="A304" i="12"/>
  <c r="A303" i="12"/>
  <c r="A302" i="12"/>
  <c r="A301" i="12"/>
  <c r="D300" i="12"/>
  <c r="C300" i="12"/>
  <c r="B300" i="12"/>
  <c r="A300" i="12"/>
  <c r="D299" i="12"/>
  <c r="C299" i="12"/>
  <c r="B299" i="12"/>
  <c r="A299" i="12"/>
  <c r="D298" i="12"/>
  <c r="C298" i="12"/>
  <c r="B298" i="12"/>
  <c r="A298" i="12"/>
  <c r="D297" i="12"/>
  <c r="C297" i="12"/>
  <c r="B297" i="12"/>
  <c r="A297" i="12"/>
  <c r="D296" i="12"/>
  <c r="C296" i="12"/>
  <c r="B296" i="12"/>
  <c r="A296" i="12"/>
  <c r="D295" i="12"/>
  <c r="C295" i="12"/>
  <c r="B295" i="12"/>
  <c r="A295" i="12"/>
  <c r="D294" i="12"/>
  <c r="C294" i="12"/>
  <c r="B294" i="12"/>
  <c r="A294" i="12"/>
  <c r="D293" i="12"/>
  <c r="C293" i="12"/>
  <c r="B293" i="12"/>
  <c r="A293" i="12"/>
  <c r="D292" i="12"/>
  <c r="C292" i="12"/>
  <c r="B292" i="12"/>
  <c r="A292" i="12"/>
  <c r="D291" i="12"/>
  <c r="C291" i="12"/>
  <c r="B291" i="12"/>
  <c r="A291" i="12"/>
  <c r="D290" i="12"/>
  <c r="C290" i="12"/>
  <c r="B290" i="12"/>
  <c r="A290" i="12"/>
  <c r="A289" i="12"/>
  <c r="A288" i="12"/>
  <c r="A287" i="12"/>
  <c r="A286" i="12"/>
  <c r="A285" i="12"/>
  <c r="A284" i="12"/>
  <c r="A283" i="12"/>
  <c r="A282" i="12"/>
  <c r="A281" i="12"/>
  <c r="A280" i="12"/>
  <c r="A279" i="12"/>
  <c r="A278" i="12"/>
  <c r="A277" i="12"/>
  <c r="A276" i="12"/>
  <c r="A275" i="12"/>
  <c r="A274" i="12"/>
  <c r="A273" i="12"/>
  <c r="A272" i="12"/>
  <c r="A271" i="12"/>
  <c r="A270" i="12"/>
  <c r="A269" i="12"/>
  <c r="A268" i="12"/>
  <c r="A267" i="12"/>
  <c r="A266" i="12"/>
  <c r="A265" i="12"/>
  <c r="A264" i="12"/>
  <c r="A263" i="12"/>
  <c r="A262" i="12"/>
  <c r="A261" i="12"/>
  <c r="A260" i="12"/>
  <c r="A259" i="12"/>
  <c r="A258" i="12"/>
  <c r="A257" i="12"/>
  <c r="A256" i="12"/>
  <c r="A255" i="12"/>
  <c r="A254" i="12"/>
  <c r="A253" i="12"/>
  <c r="A252" i="12"/>
  <c r="A251" i="12"/>
  <c r="A250" i="12"/>
  <c r="A249" i="12"/>
  <c r="A248" i="12"/>
  <c r="A247" i="12"/>
  <c r="A246" i="12"/>
  <c r="A245" i="12"/>
  <c r="A244" i="12"/>
  <c r="A243" i="12"/>
  <c r="A242" i="12"/>
  <c r="A241" i="12"/>
  <c r="A240" i="12"/>
  <c r="A239" i="12"/>
  <c r="A238" i="12"/>
  <c r="A237" i="12"/>
  <c r="A236" i="12"/>
  <c r="A235" i="12"/>
  <c r="A234" i="12"/>
  <c r="A233" i="12"/>
  <c r="A232" i="12"/>
  <c r="A231" i="12"/>
  <c r="A230" i="12"/>
  <c r="A229" i="12"/>
  <c r="A228" i="12"/>
  <c r="A227" i="12"/>
  <c r="A226" i="12"/>
  <c r="A225" i="12"/>
  <c r="A224" i="12"/>
  <c r="A223" i="12"/>
  <c r="A222" i="12"/>
  <c r="A221" i="12"/>
  <c r="A220" i="12"/>
  <c r="A219" i="12"/>
  <c r="A218" i="12"/>
  <c r="A217" i="12"/>
  <c r="A216" i="12"/>
  <c r="A215" i="12"/>
  <c r="A214" i="12"/>
  <c r="A213" i="12"/>
  <c r="A212" i="12"/>
  <c r="A211" i="12"/>
  <c r="A210" i="12"/>
  <c r="A209" i="12"/>
  <c r="A208" i="12"/>
  <c r="A207" i="12"/>
  <c r="A206" i="12"/>
  <c r="A205" i="12"/>
  <c r="A204" i="12"/>
  <c r="D203" i="12"/>
  <c r="C203" i="12"/>
  <c r="B203" i="12"/>
  <c r="A203" i="12"/>
  <c r="D202" i="12"/>
  <c r="C202" i="12"/>
  <c r="B202" i="12"/>
  <c r="A202" i="12"/>
  <c r="D201" i="12"/>
  <c r="C201" i="12"/>
  <c r="B201" i="12"/>
  <c r="A201" i="12"/>
  <c r="D200" i="12"/>
  <c r="C200" i="12"/>
  <c r="B200" i="12"/>
  <c r="A200" i="12"/>
  <c r="D199" i="12"/>
  <c r="C199" i="12"/>
  <c r="B199" i="12"/>
  <c r="A199" i="12"/>
  <c r="D198" i="12"/>
  <c r="C198" i="12"/>
  <c r="B198" i="12"/>
  <c r="A198" i="12"/>
  <c r="D197" i="12"/>
  <c r="C197" i="12"/>
  <c r="B197" i="12"/>
  <c r="A197" i="12"/>
  <c r="D196" i="12"/>
  <c r="C196" i="12"/>
  <c r="B196" i="12"/>
  <c r="A196" i="12"/>
  <c r="A195" i="12"/>
  <c r="A194" i="12"/>
  <c r="A193" i="12"/>
  <c r="A192" i="12"/>
  <c r="A191" i="12"/>
  <c r="A190" i="12"/>
  <c r="A189" i="12"/>
  <c r="A188" i="12"/>
  <c r="A187" i="12"/>
  <c r="A186" i="12"/>
  <c r="A185" i="12"/>
  <c r="A184" i="12"/>
  <c r="A183" i="12"/>
  <c r="A182" i="12"/>
  <c r="A181" i="12"/>
  <c r="A180" i="12"/>
  <c r="A179" i="12"/>
  <c r="A178" i="12"/>
  <c r="A177" i="12"/>
  <c r="A176" i="12"/>
  <c r="A175" i="12"/>
  <c r="A174" i="12"/>
  <c r="A173" i="12"/>
  <c r="A172" i="12"/>
  <c r="A171" i="12"/>
  <c r="A170" i="12"/>
  <c r="A169" i="12"/>
  <c r="A168" i="12"/>
  <c r="A167" i="12"/>
  <c r="A166" i="12"/>
  <c r="A165" i="12"/>
  <c r="A164" i="12"/>
  <c r="A163" i="12"/>
  <c r="A162" i="12"/>
  <c r="A161" i="12"/>
  <c r="A160" i="12"/>
  <c r="A159" i="12"/>
  <c r="A158" i="12"/>
  <c r="A157" i="12"/>
  <c r="A156" i="12"/>
  <c r="A155" i="12"/>
  <c r="A154" i="12"/>
  <c r="A153" i="12"/>
  <c r="A152" i="12"/>
  <c r="A151" i="12"/>
  <c r="A150" i="12"/>
  <c r="A149" i="12"/>
  <c r="A148" i="12"/>
  <c r="A147" i="12"/>
  <c r="A146" i="12"/>
  <c r="A145" i="12"/>
  <c r="A144" i="12"/>
  <c r="A143" i="12"/>
  <c r="A142" i="12"/>
  <c r="A141" i="12"/>
  <c r="A140" i="12"/>
  <c r="A139" i="12"/>
  <c r="A138" i="12"/>
  <c r="A137" i="12"/>
  <c r="A136" i="12"/>
  <c r="A135" i="12"/>
  <c r="A134" i="12"/>
  <c r="A133" i="12"/>
  <c r="A132" i="12"/>
  <c r="A131" i="12"/>
  <c r="A130" i="12"/>
  <c r="A129" i="12"/>
  <c r="A128" i="12"/>
  <c r="A127" i="12"/>
  <c r="A126" i="12"/>
  <c r="A125" i="12"/>
  <c r="A124" i="12"/>
  <c r="A123" i="12"/>
  <c r="A122" i="12"/>
  <c r="A121" i="12"/>
  <c r="A120" i="12"/>
  <c r="A119" i="12"/>
  <c r="A118" i="12"/>
  <c r="A117" i="12"/>
  <c r="A116" i="12"/>
  <c r="A115" i="12"/>
  <c r="A114" i="12"/>
  <c r="D113" i="12"/>
  <c r="C113" i="12"/>
  <c r="B113" i="12"/>
  <c r="A113" i="12"/>
  <c r="D112" i="12"/>
  <c r="C112" i="12"/>
  <c r="B112" i="12"/>
  <c r="A112" i="12"/>
  <c r="A111" i="12"/>
  <c r="A110" i="12"/>
  <c r="A109" i="12"/>
  <c r="A108" i="12"/>
  <c r="A107" i="12"/>
  <c r="A106" i="12"/>
  <c r="A105" i="12"/>
  <c r="A104" i="12"/>
  <c r="A103" i="12"/>
  <c r="A102" i="12"/>
  <c r="A101" i="12"/>
  <c r="A100" i="12"/>
  <c r="A99" i="12"/>
  <c r="A98" i="12"/>
  <c r="A97" i="12"/>
  <c r="A96" i="12"/>
  <c r="A95" i="12"/>
  <c r="A94" i="12"/>
  <c r="A93" i="12"/>
  <c r="A92" i="12"/>
  <c r="A91" i="12"/>
  <c r="A90" i="12"/>
  <c r="A89" i="12"/>
  <c r="A88" i="12"/>
  <c r="A87" i="12"/>
  <c r="A86" i="12"/>
  <c r="A85" i="12"/>
  <c r="A84" i="12"/>
  <c r="A83" i="12"/>
  <c r="A82" i="12"/>
  <c r="A81" i="12"/>
  <c r="A80" i="12"/>
  <c r="A79" i="12"/>
  <c r="A78" i="12"/>
  <c r="A77" i="12"/>
  <c r="A76" i="12"/>
  <c r="A75" i="12"/>
  <c r="A74" i="12"/>
  <c r="A73" i="12"/>
  <c r="A72" i="12"/>
  <c r="A71" i="12"/>
  <c r="A70" i="12"/>
  <c r="A69" i="12"/>
  <c r="A68" i="12"/>
  <c r="A67" i="12"/>
  <c r="A66" i="12"/>
  <c r="A65" i="12"/>
  <c r="A64" i="12"/>
  <c r="A63" i="12"/>
  <c r="A62" i="12"/>
  <c r="A61" i="12"/>
  <c r="A60" i="12"/>
  <c r="A59" i="12"/>
  <c r="A58" i="12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D3" i="12"/>
  <c r="C3" i="12"/>
  <c r="B3" i="12"/>
  <c r="A3" i="12"/>
  <c r="D351" i="11" l="1"/>
  <c r="C351" i="11"/>
  <c r="B351" i="11"/>
  <c r="A351" i="11"/>
  <c r="D350" i="11"/>
  <c r="C350" i="11"/>
  <c r="B350" i="11"/>
  <c r="A350" i="11"/>
  <c r="D349" i="11"/>
  <c r="C349" i="11"/>
  <c r="B349" i="11"/>
  <c r="A349" i="11"/>
  <c r="D348" i="11"/>
  <c r="C348" i="11"/>
  <c r="B348" i="11"/>
  <c r="A348" i="11"/>
  <c r="D347" i="11"/>
  <c r="C347" i="11"/>
  <c r="B347" i="11"/>
  <c r="A347" i="11"/>
  <c r="D346" i="11"/>
  <c r="C346" i="11"/>
  <c r="B346" i="11"/>
  <c r="A346" i="11"/>
  <c r="D345" i="11"/>
  <c r="C345" i="11"/>
  <c r="B345" i="11"/>
  <c r="A345" i="11"/>
  <c r="D344" i="11"/>
  <c r="C344" i="11"/>
  <c r="B344" i="11"/>
  <c r="A344" i="11"/>
  <c r="D343" i="11"/>
  <c r="C343" i="11"/>
  <c r="B343" i="11"/>
  <c r="A343" i="11"/>
  <c r="D342" i="11"/>
  <c r="C342" i="11"/>
  <c r="B342" i="11"/>
  <c r="A342" i="11"/>
  <c r="D341" i="11"/>
  <c r="C341" i="11"/>
  <c r="B341" i="11"/>
  <c r="A341" i="11"/>
  <c r="D340" i="11"/>
  <c r="C340" i="11"/>
  <c r="B340" i="11"/>
  <c r="A340" i="11"/>
  <c r="D339" i="11"/>
  <c r="C339" i="11"/>
  <c r="B339" i="11"/>
  <c r="A339" i="11"/>
  <c r="D338" i="11"/>
  <c r="C338" i="11"/>
  <c r="B338" i="11"/>
  <c r="A338" i="11"/>
  <c r="D337" i="11"/>
  <c r="C337" i="11"/>
  <c r="B337" i="11"/>
  <c r="A337" i="11"/>
  <c r="D336" i="11"/>
  <c r="C336" i="11"/>
  <c r="B336" i="11"/>
  <c r="A336" i="11"/>
  <c r="D335" i="11"/>
  <c r="C335" i="11"/>
  <c r="B335" i="11"/>
  <c r="A335" i="11"/>
  <c r="D334" i="11"/>
  <c r="C334" i="11"/>
  <c r="B334" i="11"/>
  <c r="A334" i="11"/>
  <c r="D333" i="11"/>
  <c r="C333" i="11"/>
  <c r="B333" i="11"/>
  <c r="A333" i="11"/>
  <c r="D332" i="11"/>
  <c r="C332" i="11"/>
  <c r="B332" i="11"/>
  <c r="A332" i="11"/>
  <c r="D331" i="11"/>
  <c r="C331" i="11"/>
  <c r="B331" i="11"/>
  <c r="A331" i="11"/>
  <c r="D330" i="11"/>
  <c r="C330" i="11"/>
  <c r="B330" i="11"/>
  <c r="A330" i="11"/>
  <c r="D329" i="11"/>
  <c r="C329" i="11"/>
  <c r="B329" i="11"/>
  <c r="A329" i="11"/>
  <c r="D328" i="11"/>
  <c r="C328" i="11"/>
  <c r="B328" i="11"/>
  <c r="A328" i="11"/>
  <c r="D327" i="11"/>
  <c r="C327" i="11"/>
  <c r="B327" i="11"/>
  <c r="A327" i="11"/>
  <c r="A326" i="11"/>
  <c r="A325" i="11"/>
  <c r="A324" i="11"/>
  <c r="A323" i="11"/>
  <c r="A322" i="11"/>
  <c r="A321" i="11"/>
  <c r="A320" i="11"/>
  <c r="A319" i="11"/>
  <c r="A318" i="11"/>
  <c r="A317" i="11"/>
  <c r="A316" i="11"/>
  <c r="A315" i="11"/>
  <c r="A314" i="11"/>
  <c r="A313" i="11"/>
  <c r="A312" i="11"/>
  <c r="A311" i="11"/>
  <c r="A310" i="11"/>
  <c r="A309" i="11"/>
  <c r="A308" i="11"/>
  <c r="A307" i="11"/>
  <c r="A306" i="11"/>
  <c r="A305" i="11"/>
  <c r="A304" i="11"/>
  <c r="A303" i="11"/>
  <c r="A302" i="11"/>
  <c r="D301" i="11"/>
  <c r="C301" i="11"/>
  <c r="B301" i="11"/>
  <c r="A301" i="11"/>
  <c r="D300" i="11"/>
  <c r="C300" i="11"/>
  <c r="B300" i="11"/>
  <c r="A300" i="11"/>
  <c r="D299" i="11"/>
  <c r="C299" i="11"/>
  <c r="B299" i="11"/>
  <c r="A299" i="11"/>
  <c r="D298" i="11"/>
  <c r="C298" i="11"/>
  <c r="B298" i="11"/>
  <c r="A298" i="11"/>
  <c r="D297" i="11"/>
  <c r="C297" i="11"/>
  <c r="B297" i="11"/>
  <c r="A297" i="11"/>
  <c r="D296" i="11"/>
  <c r="C296" i="11"/>
  <c r="B296" i="11"/>
  <c r="A296" i="11"/>
  <c r="D295" i="11"/>
  <c r="C295" i="11"/>
  <c r="B295" i="11"/>
  <c r="A295" i="11"/>
  <c r="D294" i="11"/>
  <c r="C294" i="11"/>
  <c r="B294" i="11"/>
  <c r="A294" i="11"/>
  <c r="D293" i="11"/>
  <c r="C293" i="11"/>
  <c r="B293" i="11"/>
  <c r="A293" i="11"/>
  <c r="D292" i="11"/>
  <c r="C292" i="11"/>
  <c r="B292" i="11"/>
  <c r="A292" i="11"/>
  <c r="D291" i="11"/>
  <c r="C291" i="11"/>
  <c r="B291" i="11"/>
  <c r="A291" i="11"/>
  <c r="A290" i="11"/>
  <c r="A289" i="11"/>
  <c r="A288" i="11"/>
  <c r="A287" i="11"/>
  <c r="A286" i="11"/>
  <c r="A285" i="11"/>
  <c r="A284" i="11"/>
  <c r="A283" i="11"/>
  <c r="A282" i="11"/>
  <c r="A281" i="11"/>
  <c r="A280" i="11"/>
  <c r="A279" i="11"/>
  <c r="A278" i="11"/>
  <c r="A277" i="11"/>
  <c r="A276" i="11"/>
  <c r="A275" i="11"/>
  <c r="A274" i="11"/>
  <c r="A273" i="11"/>
  <c r="A272" i="11"/>
  <c r="A271" i="11"/>
  <c r="A270" i="11"/>
  <c r="A269" i="11"/>
  <c r="A268" i="11"/>
  <c r="A267" i="11"/>
  <c r="A266" i="11"/>
  <c r="A265" i="11"/>
  <c r="A264" i="11"/>
  <c r="A263" i="11"/>
  <c r="A262" i="11"/>
  <c r="A261" i="11"/>
  <c r="A260" i="11"/>
  <c r="A259" i="11"/>
  <c r="A258" i="11"/>
  <c r="A257" i="11"/>
  <c r="A256" i="11"/>
  <c r="A255" i="11"/>
  <c r="A254" i="11"/>
  <c r="A253" i="11"/>
  <c r="A252" i="11"/>
  <c r="A251" i="11"/>
  <c r="A250" i="11"/>
  <c r="A249" i="11"/>
  <c r="A248" i="11"/>
  <c r="A247" i="11"/>
  <c r="A246" i="11"/>
  <c r="A245" i="11"/>
  <c r="A244" i="11"/>
  <c r="A243" i="11"/>
  <c r="A242" i="11"/>
  <c r="A241" i="11"/>
  <c r="A240" i="11"/>
  <c r="A239" i="11"/>
  <c r="A238" i="11"/>
  <c r="A237" i="11"/>
  <c r="A236" i="11"/>
  <c r="A235" i="11"/>
  <c r="A234" i="11"/>
  <c r="A233" i="11"/>
  <c r="A232" i="11"/>
  <c r="A231" i="11"/>
  <c r="A230" i="11"/>
  <c r="A229" i="11"/>
  <c r="A228" i="11"/>
  <c r="A227" i="11"/>
  <c r="A226" i="11"/>
  <c r="A225" i="11"/>
  <c r="A224" i="11"/>
  <c r="A223" i="11"/>
  <c r="A222" i="11"/>
  <c r="A221" i="11"/>
  <c r="A220" i="11"/>
  <c r="A219" i="11"/>
  <c r="A218" i="11"/>
  <c r="A217" i="11"/>
  <c r="A216" i="11"/>
  <c r="A215" i="11"/>
  <c r="A214" i="11"/>
  <c r="A213" i="11"/>
  <c r="A212" i="11"/>
  <c r="A211" i="11"/>
  <c r="A210" i="11"/>
  <c r="A209" i="11"/>
  <c r="A208" i="11"/>
  <c r="A207" i="11"/>
  <c r="A206" i="11"/>
  <c r="D205" i="11"/>
  <c r="C205" i="11"/>
  <c r="B205" i="11"/>
  <c r="A205" i="11"/>
  <c r="D204" i="11"/>
  <c r="C204" i="11"/>
  <c r="B204" i="11"/>
  <c r="A204" i="11"/>
  <c r="D203" i="11"/>
  <c r="C203" i="11"/>
  <c r="B203" i="11"/>
  <c r="A203" i="11"/>
  <c r="D202" i="11"/>
  <c r="C202" i="11"/>
  <c r="B202" i="11"/>
  <c r="A202" i="11"/>
  <c r="D201" i="11"/>
  <c r="C201" i="11"/>
  <c r="B201" i="11"/>
  <c r="A201" i="11"/>
  <c r="D200" i="11"/>
  <c r="C200" i="11"/>
  <c r="B200" i="11"/>
  <c r="A200" i="11"/>
  <c r="D199" i="11"/>
  <c r="C199" i="11"/>
  <c r="B199" i="11"/>
  <c r="A199" i="11"/>
  <c r="D198" i="11"/>
  <c r="C198" i="11"/>
  <c r="B198" i="11"/>
  <c r="A198" i="11"/>
  <c r="A197" i="11"/>
  <c r="A196" i="11"/>
  <c r="A195" i="11"/>
  <c r="A194" i="11"/>
  <c r="A193" i="11"/>
  <c r="A192" i="11"/>
  <c r="A191" i="11"/>
  <c r="A190" i="11"/>
  <c r="A189" i="11"/>
  <c r="A188" i="11"/>
  <c r="A187" i="11"/>
  <c r="A186" i="11"/>
  <c r="A185" i="11"/>
  <c r="A184" i="11"/>
  <c r="A183" i="11"/>
  <c r="A182" i="11"/>
  <c r="A181" i="11"/>
  <c r="A180" i="11"/>
  <c r="A179" i="11"/>
  <c r="A178" i="11"/>
  <c r="A177" i="11"/>
  <c r="A176" i="11"/>
  <c r="A175" i="11"/>
  <c r="A174" i="11"/>
  <c r="A173" i="11"/>
  <c r="A172" i="11"/>
  <c r="A171" i="11"/>
  <c r="A170" i="11"/>
  <c r="A169" i="11"/>
  <c r="A168" i="11"/>
  <c r="A167" i="11"/>
  <c r="A166" i="11"/>
  <c r="A165" i="11"/>
  <c r="A164" i="11"/>
  <c r="A163" i="11"/>
  <c r="A162" i="11"/>
  <c r="A161" i="11"/>
  <c r="A160" i="11"/>
  <c r="A159" i="11"/>
  <c r="A158" i="11"/>
  <c r="A157" i="11"/>
  <c r="A156" i="11"/>
  <c r="A155" i="11"/>
  <c r="A154" i="11"/>
  <c r="A153" i="11"/>
  <c r="A152" i="11"/>
  <c r="A151" i="11"/>
  <c r="A150" i="11"/>
  <c r="A149" i="11"/>
  <c r="A148" i="11"/>
  <c r="A147" i="11"/>
  <c r="A146" i="11"/>
  <c r="A145" i="11"/>
  <c r="A144" i="11"/>
  <c r="A143" i="11"/>
  <c r="A142" i="11"/>
  <c r="A141" i="11"/>
  <c r="A140" i="11"/>
  <c r="A139" i="11"/>
  <c r="A138" i="11"/>
  <c r="A137" i="11"/>
  <c r="A136" i="11"/>
  <c r="A135" i="11"/>
  <c r="A134" i="11"/>
  <c r="A133" i="11"/>
  <c r="A132" i="11"/>
  <c r="A131" i="11"/>
  <c r="A130" i="11"/>
  <c r="A129" i="11"/>
  <c r="A128" i="11"/>
  <c r="A127" i="11"/>
  <c r="A126" i="11"/>
  <c r="A125" i="11"/>
  <c r="A124" i="11"/>
  <c r="A123" i="11"/>
  <c r="A122" i="11"/>
  <c r="A121" i="11"/>
  <c r="A120" i="11"/>
  <c r="A119" i="11"/>
  <c r="A118" i="11"/>
  <c r="A117" i="11"/>
  <c r="D116" i="11"/>
  <c r="C116" i="11"/>
  <c r="B116" i="11"/>
  <c r="A116" i="11"/>
  <c r="D115" i="11"/>
  <c r="C115" i="11"/>
  <c r="B115" i="11"/>
  <c r="A115" i="11"/>
  <c r="A114" i="11"/>
  <c r="A113" i="11"/>
  <c r="A112" i="11"/>
  <c r="A111" i="11"/>
  <c r="A110" i="11"/>
  <c r="A109" i="11"/>
  <c r="A108" i="11"/>
  <c r="A107" i="11"/>
  <c r="A106" i="11"/>
  <c r="A105" i="11"/>
  <c r="A104" i="11"/>
  <c r="A103" i="11"/>
  <c r="A102" i="11"/>
  <c r="A101" i="11"/>
  <c r="A100" i="11"/>
  <c r="A99" i="11"/>
  <c r="A98" i="11"/>
  <c r="A97" i="11"/>
  <c r="A96" i="11"/>
  <c r="A95" i="11"/>
  <c r="A94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D3" i="11"/>
  <c r="C3" i="11"/>
  <c r="B3" i="11"/>
  <c r="A3" i="11"/>
  <c r="D348" i="10" l="1"/>
  <c r="C348" i="10"/>
  <c r="B348" i="10"/>
  <c r="A348" i="10"/>
  <c r="D347" i="10"/>
  <c r="C347" i="10"/>
  <c r="B347" i="10"/>
  <c r="A347" i="10"/>
  <c r="D346" i="10"/>
  <c r="C346" i="10"/>
  <c r="B346" i="10"/>
  <c r="A346" i="10"/>
  <c r="D345" i="10"/>
  <c r="C345" i="10"/>
  <c r="B345" i="10"/>
  <c r="A345" i="10"/>
  <c r="D344" i="10"/>
  <c r="C344" i="10"/>
  <c r="B344" i="10"/>
  <c r="A344" i="10"/>
  <c r="D343" i="10"/>
  <c r="C343" i="10"/>
  <c r="B343" i="10"/>
  <c r="A343" i="10"/>
  <c r="D342" i="10"/>
  <c r="C342" i="10"/>
  <c r="B342" i="10"/>
  <c r="A342" i="10"/>
  <c r="D341" i="10"/>
  <c r="C341" i="10"/>
  <c r="B341" i="10"/>
  <c r="A341" i="10"/>
  <c r="D340" i="10"/>
  <c r="C340" i="10"/>
  <c r="B340" i="10"/>
  <c r="A340" i="10"/>
  <c r="D339" i="10"/>
  <c r="C339" i="10"/>
  <c r="B339" i="10"/>
  <c r="A339" i="10"/>
  <c r="D338" i="10"/>
  <c r="C338" i="10"/>
  <c r="B338" i="10"/>
  <c r="A338" i="10"/>
  <c r="D337" i="10"/>
  <c r="C337" i="10"/>
  <c r="B337" i="10"/>
  <c r="A337" i="10"/>
  <c r="D336" i="10"/>
  <c r="C336" i="10"/>
  <c r="B336" i="10"/>
  <c r="A336" i="10"/>
  <c r="D335" i="10"/>
  <c r="C335" i="10"/>
  <c r="B335" i="10"/>
  <c r="A335" i="10"/>
  <c r="D334" i="10"/>
  <c r="C334" i="10"/>
  <c r="B334" i="10"/>
  <c r="A334" i="10"/>
  <c r="D333" i="10"/>
  <c r="C333" i="10"/>
  <c r="B333" i="10"/>
  <c r="A333" i="10"/>
  <c r="D332" i="10"/>
  <c r="C332" i="10"/>
  <c r="B332" i="10"/>
  <c r="A332" i="10"/>
  <c r="D331" i="10"/>
  <c r="C331" i="10"/>
  <c r="B331" i="10"/>
  <c r="A331" i="10"/>
  <c r="D330" i="10"/>
  <c r="C330" i="10"/>
  <c r="B330" i="10"/>
  <c r="A330" i="10"/>
  <c r="D329" i="10"/>
  <c r="C329" i="10"/>
  <c r="B329" i="10"/>
  <c r="A329" i="10"/>
  <c r="D328" i="10"/>
  <c r="C328" i="10"/>
  <c r="B328" i="10"/>
  <c r="A328" i="10"/>
  <c r="D327" i="10"/>
  <c r="C327" i="10"/>
  <c r="B327" i="10"/>
  <c r="A327" i="10"/>
  <c r="D326" i="10"/>
  <c r="C326" i="10"/>
  <c r="B326" i="10"/>
  <c r="A326" i="10"/>
  <c r="D325" i="10"/>
  <c r="C325" i="10"/>
  <c r="B325" i="10"/>
  <c r="A325" i="10"/>
  <c r="D324" i="10"/>
  <c r="C324" i="10"/>
  <c r="B324" i="10"/>
  <c r="A324" i="10"/>
  <c r="A323" i="10"/>
  <c r="A322" i="10"/>
  <c r="A321" i="10"/>
  <c r="A320" i="10"/>
  <c r="A319" i="10"/>
  <c r="A318" i="10"/>
  <c r="A317" i="10"/>
  <c r="A316" i="10"/>
  <c r="A315" i="10"/>
  <c r="A314" i="10"/>
  <c r="A313" i="10"/>
  <c r="A312" i="10"/>
  <c r="A311" i="10"/>
  <c r="A310" i="10"/>
  <c r="A309" i="10"/>
  <c r="A308" i="10"/>
  <c r="A307" i="10"/>
  <c r="A306" i="10"/>
  <c r="A305" i="10"/>
  <c r="A304" i="10"/>
  <c r="A303" i="10"/>
  <c r="A302" i="10"/>
  <c r="A301" i="10"/>
  <c r="A300" i="10"/>
  <c r="A299" i="10"/>
  <c r="D298" i="10"/>
  <c r="C298" i="10"/>
  <c r="B298" i="10"/>
  <c r="A298" i="10"/>
  <c r="D297" i="10"/>
  <c r="C297" i="10"/>
  <c r="B297" i="10"/>
  <c r="A297" i="10"/>
  <c r="D296" i="10"/>
  <c r="C296" i="10"/>
  <c r="B296" i="10"/>
  <c r="A296" i="10"/>
  <c r="D295" i="10"/>
  <c r="C295" i="10"/>
  <c r="B295" i="10"/>
  <c r="A295" i="10"/>
  <c r="D294" i="10"/>
  <c r="C294" i="10"/>
  <c r="B294" i="10"/>
  <c r="A294" i="10"/>
  <c r="D293" i="10"/>
  <c r="C293" i="10"/>
  <c r="B293" i="10"/>
  <c r="A293" i="10"/>
  <c r="D292" i="10"/>
  <c r="C292" i="10"/>
  <c r="B292" i="10"/>
  <c r="A292" i="10"/>
  <c r="D291" i="10"/>
  <c r="C291" i="10"/>
  <c r="B291" i="10"/>
  <c r="A291" i="10"/>
  <c r="D290" i="10"/>
  <c r="C290" i="10"/>
  <c r="B290" i="10"/>
  <c r="A290" i="10"/>
  <c r="D289" i="10"/>
  <c r="C289" i="10"/>
  <c r="B289" i="10"/>
  <c r="A289" i="10"/>
  <c r="D288" i="10"/>
  <c r="C288" i="10"/>
  <c r="B288" i="10"/>
  <c r="A288" i="10"/>
  <c r="A287" i="10"/>
  <c r="A286" i="10"/>
  <c r="A285" i="10"/>
  <c r="A284" i="10"/>
  <c r="A283" i="10"/>
  <c r="A282" i="10"/>
  <c r="A281" i="10"/>
  <c r="A280" i="10"/>
  <c r="A279" i="10"/>
  <c r="A278" i="10"/>
  <c r="A277" i="10"/>
  <c r="A276" i="10"/>
  <c r="A275" i="10"/>
  <c r="A274" i="10"/>
  <c r="A273" i="10"/>
  <c r="A272" i="10"/>
  <c r="A271" i="10"/>
  <c r="A270" i="10"/>
  <c r="A269" i="10"/>
  <c r="A268" i="10"/>
  <c r="A267" i="10"/>
  <c r="A266" i="10"/>
  <c r="A265" i="10"/>
  <c r="A264" i="10"/>
  <c r="A263" i="10"/>
  <c r="A262" i="10"/>
  <c r="A261" i="10"/>
  <c r="A260" i="10"/>
  <c r="A259" i="10"/>
  <c r="A258" i="10"/>
  <c r="A257" i="10"/>
  <c r="A256" i="10"/>
  <c r="A255" i="10"/>
  <c r="A254" i="10"/>
  <c r="A253" i="10"/>
  <c r="A252" i="10"/>
  <c r="A251" i="10"/>
  <c r="A250" i="10"/>
  <c r="A249" i="10"/>
  <c r="A248" i="10"/>
  <c r="A247" i="10"/>
  <c r="A246" i="10"/>
  <c r="A245" i="10"/>
  <c r="A244" i="10"/>
  <c r="A243" i="10"/>
  <c r="A242" i="10"/>
  <c r="A241" i="10"/>
  <c r="A240" i="10"/>
  <c r="A239" i="10"/>
  <c r="A238" i="10"/>
  <c r="A237" i="10"/>
  <c r="A236" i="10"/>
  <c r="A235" i="10"/>
  <c r="A234" i="10"/>
  <c r="A233" i="10"/>
  <c r="A232" i="10"/>
  <c r="A231" i="10"/>
  <c r="A230" i="10"/>
  <c r="A229" i="10"/>
  <c r="A228" i="10"/>
  <c r="A227" i="10"/>
  <c r="A226" i="10"/>
  <c r="A225" i="10"/>
  <c r="A224" i="10"/>
  <c r="A223" i="10"/>
  <c r="A222" i="10"/>
  <c r="A221" i="10"/>
  <c r="A220" i="10"/>
  <c r="A219" i="10"/>
  <c r="A218" i="10"/>
  <c r="A217" i="10"/>
  <c r="A216" i="10"/>
  <c r="A215" i="10"/>
  <c r="A214" i="10"/>
  <c r="A213" i="10"/>
  <c r="A212" i="10"/>
  <c r="A211" i="10"/>
  <c r="A210" i="10"/>
  <c r="A209" i="10"/>
  <c r="A208" i="10"/>
  <c r="A207" i="10"/>
  <c r="A206" i="10"/>
  <c r="A205" i="10"/>
  <c r="A204" i="10"/>
  <c r="A203" i="10"/>
  <c r="D202" i="10"/>
  <c r="C202" i="10"/>
  <c r="B202" i="10"/>
  <c r="A202" i="10"/>
  <c r="D201" i="10"/>
  <c r="C201" i="10"/>
  <c r="B201" i="10"/>
  <c r="A201" i="10"/>
  <c r="D200" i="10"/>
  <c r="C200" i="10"/>
  <c r="B200" i="10"/>
  <c r="A200" i="10"/>
  <c r="D199" i="10"/>
  <c r="C199" i="10"/>
  <c r="B199" i="10"/>
  <c r="A199" i="10"/>
  <c r="D198" i="10"/>
  <c r="C198" i="10"/>
  <c r="B198" i="10"/>
  <c r="A198" i="10"/>
  <c r="D197" i="10"/>
  <c r="C197" i="10"/>
  <c r="B197" i="10"/>
  <c r="A197" i="10"/>
  <c r="D196" i="10"/>
  <c r="C196" i="10"/>
  <c r="B196" i="10"/>
  <c r="A196" i="10"/>
  <c r="D195" i="10"/>
  <c r="C195" i="10"/>
  <c r="B195" i="10"/>
  <c r="A195" i="10"/>
  <c r="A194" i="10"/>
  <c r="A193" i="10"/>
  <c r="A192" i="10"/>
  <c r="A191" i="10"/>
  <c r="A190" i="10"/>
  <c r="A189" i="10"/>
  <c r="A188" i="10"/>
  <c r="A187" i="10"/>
  <c r="A186" i="10"/>
  <c r="A185" i="10"/>
  <c r="A184" i="10"/>
  <c r="A183" i="10"/>
  <c r="A182" i="10"/>
  <c r="A181" i="10"/>
  <c r="A180" i="10"/>
  <c r="A179" i="10"/>
  <c r="A178" i="10"/>
  <c r="A177" i="10"/>
  <c r="A176" i="10"/>
  <c r="A175" i="10"/>
  <c r="A174" i="10"/>
  <c r="A173" i="10"/>
  <c r="A172" i="10"/>
  <c r="A171" i="10"/>
  <c r="A170" i="10"/>
  <c r="A169" i="10"/>
  <c r="A168" i="10"/>
  <c r="A167" i="10"/>
  <c r="A166" i="10"/>
  <c r="A165" i="10"/>
  <c r="A164" i="10"/>
  <c r="A163" i="10"/>
  <c r="A162" i="10"/>
  <c r="A161" i="10"/>
  <c r="A160" i="10"/>
  <c r="A159" i="10"/>
  <c r="A158" i="10"/>
  <c r="A157" i="10"/>
  <c r="A156" i="10"/>
  <c r="A155" i="10"/>
  <c r="A154" i="10"/>
  <c r="A153" i="10"/>
  <c r="A152" i="10"/>
  <c r="A151" i="10"/>
  <c r="A150" i="10"/>
  <c r="A149" i="10"/>
  <c r="A148" i="10"/>
  <c r="A147" i="10"/>
  <c r="A146" i="10"/>
  <c r="A145" i="10"/>
  <c r="A144" i="10"/>
  <c r="A143" i="10"/>
  <c r="A142" i="10"/>
  <c r="A141" i="10"/>
  <c r="A140" i="10"/>
  <c r="A139" i="10"/>
  <c r="A138" i="10"/>
  <c r="A137" i="10"/>
  <c r="A136" i="10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6" i="10"/>
  <c r="A115" i="10"/>
  <c r="D114" i="10"/>
  <c r="C114" i="10"/>
  <c r="B114" i="10"/>
  <c r="A114" i="10"/>
  <c r="D113" i="10"/>
  <c r="C113" i="10"/>
  <c r="B113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D3" i="10"/>
  <c r="C3" i="10"/>
  <c r="B3" i="10"/>
  <c r="A3" i="10"/>
  <c r="D352" i="9" l="1"/>
  <c r="C352" i="9"/>
  <c r="B352" i="9"/>
  <c r="A352" i="9"/>
  <c r="D351" i="9"/>
  <c r="C351" i="9"/>
  <c r="B351" i="9"/>
  <c r="A351" i="9"/>
  <c r="D350" i="9"/>
  <c r="C350" i="9"/>
  <c r="B350" i="9"/>
  <c r="A350" i="9"/>
  <c r="D349" i="9"/>
  <c r="C349" i="9"/>
  <c r="B349" i="9"/>
  <c r="A349" i="9"/>
  <c r="D348" i="9"/>
  <c r="C348" i="9"/>
  <c r="B348" i="9"/>
  <c r="A348" i="9"/>
  <c r="D347" i="9"/>
  <c r="C347" i="9"/>
  <c r="B347" i="9"/>
  <c r="A347" i="9"/>
  <c r="D346" i="9"/>
  <c r="C346" i="9"/>
  <c r="B346" i="9"/>
  <c r="A346" i="9"/>
  <c r="D345" i="9"/>
  <c r="C345" i="9"/>
  <c r="B345" i="9"/>
  <c r="A345" i="9"/>
  <c r="D344" i="9"/>
  <c r="C344" i="9"/>
  <c r="B344" i="9"/>
  <c r="A344" i="9"/>
  <c r="D343" i="9"/>
  <c r="C343" i="9"/>
  <c r="B343" i="9"/>
  <c r="A343" i="9"/>
  <c r="D342" i="9"/>
  <c r="C342" i="9"/>
  <c r="B342" i="9"/>
  <c r="A342" i="9"/>
  <c r="D341" i="9"/>
  <c r="C341" i="9"/>
  <c r="B341" i="9"/>
  <c r="A341" i="9"/>
  <c r="D340" i="9"/>
  <c r="C340" i="9"/>
  <c r="B340" i="9"/>
  <c r="A340" i="9"/>
  <c r="D339" i="9"/>
  <c r="C339" i="9"/>
  <c r="B339" i="9"/>
  <c r="A339" i="9"/>
  <c r="D338" i="9"/>
  <c r="C338" i="9"/>
  <c r="B338" i="9"/>
  <c r="A338" i="9"/>
  <c r="D337" i="9"/>
  <c r="C337" i="9"/>
  <c r="B337" i="9"/>
  <c r="A337" i="9"/>
  <c r="D336" i="9"/>
  <c r="C336" i="9"/>
  <c r="B336" i="9"/>
  <c r="A336" i="9"/>
  <c r="D335" i="9"/>
  <c r="C335" i="9"/>
  <c r="B335" i="9"/>
  <c r="A335" i="9"/>
  <c r="D334" i="9"/>
  <c r="C334" i="9"/>
  <c r="B334" i="9"/>
  <c r="A334" i="9"/>
  <c r="D333" i="9"/>
  <c r="C333" i="9"/>
  <c r="B333" i="9"/>
  <c r="A333" i="9"/>
  <c r="D332" i="9"/>
  <c r="C332" i="9"/>
  <c r="B332" i="9"/>
  <c r="A332" i="9"/>
  <c r="D331" i="9"/>
  <c r="C331" i="9"/>
  <c r="B331" i="9"/>
  <c r="A331" i="9"/>
  <c r="D330" i="9"/>
  <c r="C330" i="9"/>
  <c r="B330" i="9"/>
  <c r="A330" i="9"/>
  <c r="D329" i="9"/>
  <c r="C329" i="9"/>
  <c r="B329" i="9"/>
  <c r="A329" i="9"/>
  <c r="D328" i="9"/>
  <c r="C328" i="9"/>
  <c r="B328" i="9"/>
  <c r="A328" i="9"/>
  <c r="A327" i="9"/>
  <c r="A326" i="9"/>
  <c r="A325" i="9"/>
  <c r="A324" i="9"/>
  <c r="A323" i="9"/>
  <c r="A322" i="9"/>
  <c r="A321" i="9"/>
  <c r="A320" i="9"/>
  <c r="A319" i="9"/>
  <c r="A318" i="9"/>
  <c r="A317" i="9"/>
  <c r="A316" i="9"/>
  <c r="A315" i="9"/>
  <c r="A314" i="9"/>
  <c r="A313" i="9"/>
  <c r="A312" i="9"/>
  <c r="A311" i="9"/>
  <c r="A310" i="9"/>
  <c r="A309" i="9"/>
  <c r="A308" i="9"/>
  <c r="A307" i="9"/>
  <c r="A306" i="9"/>
  <c r="A305" i="9"/>
  <c r="A304" i="9"/>
  <c r="A303" i="9"/>
  <c r="A302" i="9"/>
  <c r="A301" i="9"/>
  <c r="A300" i="9"/>
  <c r="A299" i="9"/>
  <c r="A298" i="9"/>
  <c r="D297" i="9"/>
  <c r="C297" i="9"/>
  <c r="B297" i="9"/>
  <c r="A297" i="9"/>
  <c r="D296" i="9"/>
  <c r="C296" i="9"/>
  <c r="B296" i="9"/>
  <c r="A296" i="9"/>
  <c r="D295" i="9"/>
  <c r="C295" i="9"/>
  <c r="B295" i="9"/>
  <c r="A295" i="9"/>
  <c r="D294" i="9"/>
  <c r="C294" i="9"/>
  <c r="B294" i="9"/>
  <c r="A294" i="9"/>
  <c r="D293" i="9"/>
  <c r="C293" i="9"/>
  <c r="B293" i="9"/>
  <c r="A293" i="9"/>
  <c r="D292" i="9"/>
  <c r="C292" i="9"/>
  <c r="B292" i="9"/>
  <c r="A292" i="9"/>
  <c r="D291" i="9"/>
  <c r="C291" i="9"/>
  <c r="B291" i="9"/>
  <c r="A291" i="9"/>
  <c r="D290" i="9"/>
  <c r="C290" i="9"/>
  <c r="B290" i="9"/>
  <c r="A290" i="9"/>
  <c r="D289" i="9"/>
  <c r="C289" i="9"/>
  <c r="B289" i="9"/>
  <c r="A289" i="9"/>
  <c r="D288" i="9"/>
  <c r="C288" i="9"/>
  <c r="B288" i="9"/>
  <c r="A288" i="9"/>
  <c r="D287" i="9"/>
  <c r="C287" i="9"/>
  <c r="B287" i="9"/>
  <c r="A287" i="9"/>
  <c r="A286" i="9"/>
  <c r="A285" i="9"/>
  <c r="A284" i="9"/>
  <c r="A283" i="9"/>
  <c r="A282" i="9"/>
  <c r="A281" i="9"/>
  <c r="A280" i="9"/>
  <c r="A279" i="9"/>
  <c r="A278" i="9"/>
  <c r="A277" i="9"/>
  <c r="A276" i="9"/>
  <c r="A275" i="9"/>
  <c r="A274" i="9"/>
  <c r="A273" i="9"/>
  <c r="A272" i="9"/>
  <c r="A271" i="9"/>
  <c r="A270" i="9"/>
  <c r="A269" i="9"/>
  <c r="A268" i="9"/>
  <c r="A267" i="9"/>
  <c r="A266" i="9"/>
  <c r="A265" i="9"/>
  <c r="A264" i="9"/>
  <c r="A263" i="9"/>
  <c r="A262" i="9"/>
  <c r="A261" i="9"/>
  <c r="A260" i="9"/>
  <c r="A259" i="9"/>
  <c r="A258" i="9"/>
  <c r="A257" i="9"/>
  <c r="A256" i="9"/>
  <c r="A255" i="9"/>
  <c r="A254" i="9"/>
  <c r="A253" i="9"/>
  <c r="A252" i="9"/>
  <c r="A251" i="9"/>
  <c r="A250" i="9"/>
  <c r="A249" i="9"/>
  <c r="A248" i="9"/>
  <c r="A247" i="9"/>
  <c r="A246" i="9"/>
  <c r="A245" i="9"/>
  <c r="A244" i="9"/>
  <c r="A243" i="9"/>
  <c r="A242" i="9"/>
  <c r="A241" i="9"/>
  <c r="A240" i="9"/>
  <c r="A239" i="9"/>
  <c r="A238" i="9"/>
  <c r="A237" i="9"/>
  <c r="A236" i="9"/>
  <c r="A235" i="9"/>
  <c r="A234" i="9"/>
  <c r="A233" i="9"/>
  <c r="A232" i="9"/>
  <c r="A231" i="9"/>
  <c r="A230" i="9"/>
  <c r="A229" i="9"/>
  <c r="A228" i="9"/>
  <c r="A227" i="9"/>
  <c r="A226" i="9"/>
  <c r="A225" i="9"/>
  <c r="A224" i="9"/>
  <c r="A223" i="9"/>
  <c r="A222" i="9"/>
  <c r="A221" i="9"/>
  <c r="A220" i="9"/>
  <c r="A219" i="9"/>
  <c r="A218" i="9"/>
  <c r="A217" i="9"/>
  <c r="A216" i="9"/>
  <c r="A215" i="9"/>
  <c r="A214" i="9"/>
  <c r="A213" i="9"/>
  <c r="A212" i="9"/>
  <c r="A211" i="9"/>
  <c r="A210" i="9"/>
  <c r="A209" i="9"/>
  <c r="A208" i="9"/>
  <c r="A207" i="9"/>
  <c r="A206" i="9"/>
  <c r="A205" i="9"/>
  <c r="A204" i="9"/>
  <c r="A203" i="9"/>
  <c r="A202" i="9"/>
  <c r="D201" i="9"/>
  <c r="C201" i="9"/>
  <c r="B201" i="9"/>
  <c r="A201" i="9"/>
  <c r="D200" i="9"/>
  <c r="C200" i="9"/>
  <c r="B200" i="9"/>
  <c r="A200" i="9"/>
  <c r="D199" i="9"/>
  <c r="C199" i="9"/>
  <c r="B199" i="9"/>
  <c r="A199" i="9"/>
  <c r="D198" i="9"/>
  <c r="C198" i="9"/>
  <c r="B198" i="9"/>
  <c r="A198" i="9"/>
  <c r="D197" i="9"/>
  <c r="C197" i="9"/>
  <c r="B197" i="9"/>
  <c r="A197" i="9"/>
  <c r="D196" i="9"/>
  <c r="C196" i="9"/>
  <c r="B196" i="9"/>
  <c r="A196" i="9"/>
  <c r="D195" i="9"/>
  <c r="C195" i="9"/>
  <c r="B195" i="9"/>
  <c r="A195" i="9"/>
  <c r="D194" i="9"/>
  <c r="C194" i="9"/>
  <c r="B194" i="9"/>
  <c r="A194" i="9"/>
  <c r="A193" i="9"/>
  <c r="A192" i="9"/>
  <c r="A191" i="9"/>
  <c r="A190" i="9"/>
  <c r="A189" i="9"/>
  <c r="A188" i="9"/>
  <c r="A187" i="9"/>
  <c r="A186" i="9"/>
  <c r="A185" i="9"/>
  <c r="A184" i="9"/>
  <c r="A183" i="9"/>
  <c r="A182" i="9"/>
  <c r="A181" i="9"/>
  <c r="A180" i="9"/>
  <c r="A179" i="9"/>
  <c r="A178" i="9"/>
  <c r="A177" i="9"/>
  <c r="A176" i="9"/>
  <c r="A175" i="9"/>
  <c r="A174" i="9"/>
  <c r="A173" i="9"/>
  <c r="A172" i="9"/>
  <c r="A171" i="9"/>
  <c r="A170" i="9"/>
  <c r="A169" i="9"/>
  <c r="A168" i="9"/>
  <c r="A167" i="9"/>
  <c r="A166" i="9"/>
  <c r="A165" i="9"/>
  <c r="A164" i="9"/>
  <c r="A163" i="9"/>
  <c r="A162" i="9"/>
  <c r="A161" i="9"/>
  <c r="A160" i="9"/>
  <c r="A159" i="9"/>
  <c r="A158" i="9"/>
  <c r="A157" i="9"/>
  <c r="A156" i="9"/>
  <c r="A155" i="9"/>
  <c r="A154" i="9"/>
  <c r="A153" i="9"/>
  <c r="A152" i="9"/>
  <c r="A151" i="9"/>
  <c r="A150" i="9"/>
  <c r="A149" i="9"/>
  <c r="A148" i="9"/>
  <c r="A147" i="9"/>
  <c r="A146" i="9"/>
  <c r="A145" i="9"/>
  <c r="A144" i="9"/>
  <c r="A143" i="9"/>
  <c r="A142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D111" i="9"/>
  <c r="C111" i="9"/>
  <c r="B111" i="9"/>
  <c r="A111" i="9"/>
  <c r="D110" i="9"/>
  <c r="C110" i="9"/>
  <c r="B110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D3" i="9"/>
  <c r="C3" i="9"/>
  <c r="B3" i="9"/>
  <c r="A3" i="9"/>
  <c r="D353" i="8" l="1"/>
  <c r="C353" i="8"/>
  <c r="B353" i="8"/>
  <c r="A353" i="8"/>
  <c r="D352" i="8"/>
  <c r="C352" i="8"/>
  <c r="B352" i="8"/>
  <c r="A352" i="8"/>
  <c r="D351" i="8"/>
  <c r="C351" i="8"/>
  <c r="B351" i="8"/>
  <c r="A351" i="8"/>
  <c r="D350" i="8"/>
  <c r="C350" i="8"/>
  <c r="B350" i="8"/>
  <c r="A350" i="8"/>
  <c r="D349" i="8"/>
  <c r="C349" i="8"/>
  <c r="B349" i="8"/>
  <c r="A349" i="8"/>
  <c r="D348" i="8"/>
  <c r="C348" i="8"/>
  <c r="B348" i="8"/>
  <c r="A348" i="8"/>
  <c r="D347" i="8"/>
  <c r="C347" i="8"/>
  <c r="B347" i="8"/>
  <c r="A347" i="8"/>
  <c r="D346" i="8"/>
  <c r="C346" i="8"/>
  <c r="B346" i="8"/>
  <c r="A346" i="8"/>
  <c r="D345" i="8"/>
  <c r="C345" i="8"/>
  <c r="B345" i="8"/>
  <c r="A345" i="8"/>
  <c r="D344" i="8"/>
  <c r="C344" i="8"/>
  <c r="B344" i="8"/>
  <c r="A344" i="8"/>
  <c r="D343" i="8"/>
  <c r="C343" i="8"/>
  <c r="B343" i="8"/>
  <c r="A343" i="8"/>
  <c r="D342" i="8"/>
  <c r="C342" i="8"/>
  <c r="B342" i="8"/>
  <c r="A342" i="8"/>
  <c r="D341" i="8"/>
  <c r="C341" i="8"/>
  <c r="B341" i="8"/>
  <c r="A341" i="8"/>
  <c r="D340" i="8"/>
  <c r="C340" i="8"/>
  <c r="B340" i="8"/>
  <c r="A340" i="8"/>
  <c r="D339" i="8"/>
  <c r="C339" i="8"/>
  <c r="B339" i="8"/>
  <c r="A339" i="8"/>
  <c r="D338" i="8"/>
  <c r="C338" i="8"/>
  <c r="B338" i="8"/>
  <c r="A338" i="8"/>
  <c r="D337" i="8"/>
  <c r="C337" i="8"/>
  <c r="B337" i="8"/>
  <c r="A337" i="8"/>
  <c r="D336" i="8"/>
  <c r="C336" i="8"/>
  <c r="B336" i="8"/>
  <c r="A336" i="8"/>
  <c r="D335" i="8"/>
  <c r="C335" i="8"/>
  <c r="B335" i="8"/>
  <c r="A335" i="8"/>
  <c r="D334" i="8"/>
  <c r="C334" i="8"/>
  <c r="B334" i="8"/>
  <c r="A334" i="8"/>
  <c r="D333" i="8"/>
  <c r="C333" i="8"/>
  <c r="B333" i="8"/>
  <c r="A333" i="8"/>
  <c r="D332" i="8"/>
  <c r="C332" i="8"/>
  <c r="B332" i="8"/>
  <c r="A332" i="8"/>
  <c r="D331" i="8"/>
  <c r="C331" i="8"/>
  <c r="B331" i="8"/>
  <c r="A331" i="8"/>
  <c r="D330" i="8"/>
  <c r="C330" i="8"/>
  <c r="B330" i="8"/>
  <c r="A330" i="8"/>
  <c r="D329" i="8"/>
  <c r="C329" i="8"/>
  <c r="B329" i="8"/>
  <c r="A329" i="8"/>
  <c r="A328" i="8"/>
  <c r="A327" i="8"/>
  <c r="A326" i="8"/>
  <c r="A325" i="8"/>
  <c r="A324" i="8"/>
  <c r="A323" i="8"/>
  <c r="A322" i="8"/>
  <c r="A321" i="8"/>
  <c r="A320" i="8"/>
  <c r="A319" i="8"/>
  <c r="A318" i="8"/>
  <c r="A317" i="8"/>
  <c r="A316" i="8"/>
  <c r="A315" i="8"/>
  <c r="A314" i="8"/>
  <c r="A313" i="8"/>
  <c r="A312" i="8"/>
  <c r="A311" i="8"/>
  <c r="A310" i="8"/>
  <c r="A309" i="8"/>
  <c r="A308" i="8"/>
  <c r="A307" i="8"/>
  <c r="A306" i="8"/>
  <c r="A305" i="8"/>
  <c r="A304" i="8"/>
  <c r="A303" i="8"/>
  <c r="A302" i="8"/>
  <c r="A301" i="8"/>
  <c r="D300" i="8"/>
  <c r="C300" i="8"/>
  <c r="B300" i="8"/>
  <c r="A300" i="8"/>
  <c r="D299" i="8"/>
  <c r="C299" i="8"/>
  <c r="B299" i="8"/>
  <c r="A299" i="8"/>
  <c r="D298" i="8"/>
  <c r="C298" i="8"/>
  <c r="B298" i="8"/>
  <c r="A298" i="8"/>
  <c r="D297" i="8"/>
  <c r="C297" i="8"/>
  <c r="B297" i="8"/>
  <c r="A297" i="8"/>
  <c r="D296" i="8"/>
  <c r="C296" i="8"/>
  <c r="B296" i="8"/>
  <c r="A296" i="8"/>
  <c r="D295" i="8"/>
  <c r="C295" i="8"/>
  <c r="B295" i="8"/>
  <c r="A295" i="8"/>
  <c r="D294" i="8"/>
  <c r="C294" i="8"/>
  <c r="B294" i="8"/>
  <c r="A294" i="8"/>
  <c r="D293" i="8"/>
  <c r="C293" i="8"/>
  <c r="B293" i="8"/>
  <c r="A293" i="8"/>
  <c r="D292" i="8"/>
  <c r="C292" i="8"/>
  <c r="B292" i="8"/>
  <c r="A292" i="8"/>
  <c r="D291" i="8"/>
  <c r="C291" i="8"/>
  <c r="B291" i="8"/>
  <c r="A291" i="8"/>
  <c r="D290" i="8"/>
  <c r="C290" i="8"/>
  <c r="B290" i="8"/>
  <c r="A290" i="8"/>
  <c r="A289" i="8"/>
  <c r="A288" i="8"/>
  <c r="A287" i="8"/>
  <c r="A286" i="8"/>
  <c r="A285" i="8"/>
  <c r="A284" i="8"/>
  <c r="A283" i="8"/>
  <c r="A282" i="8"/>
  <c r="A281" i="8"/>
  <c r="A280" i="8"/>
  <c r="A279" i="8"/>
  <c r="A278" i="8"/>
  <c r="A277" i="8"/>
  <c r="A276" i="8"/>
  <c r="A275" i="8"/>
  <c r="A274" i="8"/>
  <c r="A273" i="8"/>
  <c r="A272" i="8"/>
  <c r="A271" i="8"/>
  <c r="A270" i="8"/>
  <c r="A269" i="8"/>
  <c r="A268" i="8"/>
  <c r="A267" i="8"/>
  <c r="A266" i="8"/>
  <c r="A265" i="8"/>
  <c r="A264" i="8"/>
  <c r="A263" i="8"/>
  <c r="A262" i="8"/>
  <c r="A261" i="8"/>
  <c r="A260" i="8"/>
  <c r="A259" i="8"/>
  <c r="A258" i="8"/>
  <c r="A257" i="8"/>
  <c r="A256" i="8"/>
  <c r="A255" i="8"/>
  <c r="A254" i="8"/>
  <c r="A253" i="8"/>
  <c r="A252" i="8"/>
  <c r="A251" i="8"/>
  <c r="A250" i="8"/>
  <c r="A249" i="8"/>
  <c r="A248" i="8"/>
  <c r="A247" i="8"/>
  <c r="A246" i="8"/>
  <c r="A245" i="8"/>
  <c r="A244" i="8"/>
  <c r="A243" i="8"/>
  <c r="A242" i="8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D204" i="8"/>
  <c r="C204" i="8"/>
  <c r="B204" i="8"/>
  <c r="A204" i="8"/>
  <c r="D203" i="8"/>
  <c r="C203" i="8"/>
  <c r="B203" i="8"/>
  <c r="A203" i="8"/>
  <c r="D202" i="8"/>
  <c r="C202" i="8"/>
  <c r="B202" i="8"/>
  <c r="A202" i="8"/>
  <c r="D201" i="8"/>
  <c r="C201" i="8"/>
  <c r="B201" i="8"/>
  <c r="A201" i="8"/>
  <c r="D200" i="8"/>
  <c r="C200" i="8"/>
  <c r="B200" i="8"/>
  <c r="A200" i="8"/>
  <c r="D199" i="8"/>
  <c r="C199" i="8"/>
  <c r="B199" i="8"/>
  <c r="A199" i="8"/>
  <c r="D198" i="8"/>
  <c r="C198" i="8"/>
  <c r="B198" i="8"/>
  <c r="A198" i="8"/>
  <c r="D197" i="8"/>
  <c r="C197" i="8"/>
  <c r="B197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D113" i="8"/>
  <c r="C113" i="8"/>
  <c r="B113" i="8"/>
  <c r="A113" i="8"/>
  <c r="D112" i="8"/>
  <c r="C112" i="8"/>
  <c r="B112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D3" i="8"/>
  <c r="C3" i="8"/>
  <c r="B3" i="8"/>
  <c r="A3" i="8"/>
  <c r="D353" i="7" l="1"/>
  <c r="C353" i="7"/>
  <c r="B353" i="7"/>
  <c r="A353" i="7"/>
  <c r="D352" i="7"/>
  <c r="C352" i="7"/>
  <c r="B352" i="7"/>
  <c r="A352" i="7"/>
  <c r="D351" i="7"/>
  <c r="C351" i="7"/>
  <c r="B351" i="7"/>
  <c r="A351" i="7"/>
  <c r="D350" i="7"/>
  <c r="C350" i="7"/>
  <c r="B350" i="7"/>
  <c r="A350" i="7"/>
  <c r="D349" i="7"/>
  <c r="C349" i="7"/>
  <c r="B349" i="7"/>
  <c r="A349" i="7"/>
  <c r="D348" i="7"/>
  <c r="C348" i="7"/>
  <c r="B348" i="7"/>
  <c r="A348" i="7"/>
  <c r="D347" i="7"/>
  <c r="C347" i="7"/>
  <c r="B347" i="7"/>
  <c r="A347" i="7"/>
  <c r="D346" i="7"/>
  <c r="C346" i="7"/>
  <c r="B346" i="7"/>
  <c r="A346" i="7"/>
  <c r="D345" i="7"/>
  <c r="C345" i="7"/>
  <c r="B345" i="7"/>
  <c r="A345" i="7"/>
  <c r="D344" i="7"/>
  <c r="C344" i="7"/>
  <c r="B344" i="7"/>
  <c r="A344" i="7"/>
  <c r="D343" i="7"/>
  <c r="C343" i="7"/>
  <c r="B343" i="7"/>
  <c r="A343" i="7"/>
  <c r="D342" i="7"/>
  <c r="C342" i="7"/>
  <c r="B342" i="7"/>
  <c r="A342" i="7"/>
  <c r="D341" i="7"/>
  <c r="C341" i="7"/>
  <c r="B341" i="7"/>
  <c r="A341" i="7"/>
  <c r="D340" i="7"/>
  <c r="C340" i="7"/>
  <c r="B340" i="7"/>
  <c r="A340" i="7"/>
  <c r="D339" i="7"/>
  <c r="C339" i="7"/>
  <c r="B339" i="7"/>
  <c r="A339" i="7"/>
  <c r="D338" i="7"/>
  <c r="C338" i="7"/>
  <c r="B338" i="7"/>
  <c r="A338" i="7"/>
  <c r="D337" i="7"/>
  <c r="C337" i="7"/>
  <c r="B337" i="7"/>
  <c r="A337" i="7"/>
  <c r="D336" i="7"/>
  <c r="C336" i="7"/>
  <c r="B336" i="7"/>
  <c r="A336" i="7"/>
  <c r="D335" i="7"/>
  <c r="C335" i="7"/>
  <c r="B335" i="7"/>
  <c r="A335" i="7"/>
  <c r="D334" i="7"/>
  <c r="C334" i="7"/>
  <c r="B334" i="7"/>
  <c r="A334" i="7"/>
  <c r="D333" i="7"/>
  <c r="C333" i="7"/>
  <c r="B333" i="7"/>
  <c r="A333" i="7"/>
  <c r="D332" i="7"/>
  <c r="C332" i="7"/>
  <c r="B332" i="7"/>
  <c r="A332" i="7"/>
  <c r="D331" i="7"/>
  <c r="C331" i="7"/>
  <c r="B331" i="7"/>
  <c r="A331" i="7"/>
  <c r="D330" i="7"/>
  <c r="C330" i="7"/>
  <c r="B330" i="7"/>
  <c r="A330" i="7"/>
  <c r="D329" i="7"/>
  <c r="C329" i="7"/>
  <c r="B329" i="7"/>
  <c r="A329" i="7"/>
  <c r="A328" i="7"/>
  <c r="A327" i="7"/>
  <c r="A326" i="7"/>
  <c r="A325" i="7"/>
  <c r="A324" i="7"/>
  <c r="A323" i="7"/>
  <c r="A322" i="7"/>
  <c r="A321" i="7"/>
  <c r="A320" i="7"/>
  <c r="A319" i="7"/>
  <c r="A318" i="7"/>
  <c r="A317" i="7"/>
  <c r="A316" i="7"/>
  <c r="A315" i="7"/>
  <c r="A314" i="7"/>
  <c r="A313" i="7"/>
  <c r="A312" i="7"/>
  <c r="A311" i="7"/>
  <c r="A310" i="7"/>
  <c r="A309" i="7"/>
  <c r="A308" i="7"/>
  <c r="A307" i="7"/>
  <c r="A306" i="7"/>
  <c r="A305" i="7"/>
  <c r="A304" i="7"/>
  <c r="A303" i="7"/>
  <c r="A302" i="7"/>
  <c r="A301" i="7"/>
  <c r="D300" i="7"/>
  <c r="C300" i="7"/>
  <c r="B300" i="7"/>
  <c r="A300" i="7"/>
  <c r="D299" i="7"/>
  <c r="C299" i="7"/>
  <c r="B299" i="7"/>
  <c r="A299" i="7"/>
  <c r="D298" i="7"/>
  <c r="C298" i="7"/>
  <c r="B298" i="7"/>
  <c r="A298" i="7"/>
  <c r="D297" i="7"/>
  <c r="C297" i="7"/>
  <c r="B297" i="7"/>
  <c r="A297" i="7"/>
  <c r="D296" i="7"/>
  <c r="C296" i="7"/>
  <c r="B296" i="7"/>
  <c r="A296" i="7"/>
  <c r="D295" i="7"/>
  <c r="C295" i="7"/>
  <c r="B295" i="7"/>
  <c r="A295" i="7"/>
  <c r="D294" i="7"/>
  <c r="C294" i="7"/>
  <c r="B294" i="7"/>
  <c r="A294" i="7"/>
  <c r="D293" i="7"/>
  <c r="C293" i="7"/>
  <c r="B293" i="7"/>
  <c r="A293" i="7"/>
  <c r="D292" i="7"/>
  <c r="C292" i="7"/>
  <c r="B292" i="7"/>
  <c r="A292" i="7"/>
  <c r="D291" i="7"/>
  <c r="C291" i="7"/>
  <c r="B291" i="7"/>
  <c r="A291" i="7"/>
  <c r="D290" i="7"/>
  <c r="C290" i="7"/>
  <c r="B290" i="7"/>
  <c r="A290" i="7"/>
  <c r="A289" i="7"/>
  <c r="A288" i="7"/>
  <c r="A287" i="7"/>
  <c r="A286" i="7"/>
  <c r="A285" i="7"/>
  <c r="A284" i="7"/>
  <c r="A283" i="7"/>
  <c r="A282" i="7"/>
  <c r="A281" i="7"/>
  <c r="A280" i="7"/>
  <c r="A279" i="7"/>
  <c r="A278" i="7"/>
  <c r="A277" i="7"/>
  <c r="A276" i="7"/>
  <c r="A275" i="7"/>
  <c r="A274" i="7"/>
  <c r="A273" i="7"/>
  <c r="A272" i="7"/>
  <c r="A271" i="7"/>
  <c r="A270" i="7"/>
  <c r="A269" i="7"/>
  <c r="A268" i="7"/>
  <c r="A267" i="7"/>
  <c r="A266" i="7"/>
  <c r="A265" i="7"/>
  <c r="A264" i="7"/>
  <c r="A263" i="7"/>
  <c r="A262" i="7"/>
  <c r="A261" i="7"/>
  <c r="A260" i="7"/>
  <c r="A259" i="7"/>
  <c r="A258" i="7"/>
  <c r="A257" i="7"/>
  <c r="A256" i="7"/>
  <c r="A255" i="7"/>
  <c r="A254" i="7"/>
  <c r="A253" i="7"/>
  <c r="A252" i="7"/>
  <c r="A251" i="7"/>
  <c r="A250" i="7"/>
  <c r="A249" i="7"/>
  <c r="A248" i="7"/>
  <c r="A247" i="7"/>
  <c r="A246" i="7"/>
  <c r="A245" i="7"/>
  <c r="A244" i="7"/>
  <c r="A243" i="7"/>
  <c r="A242" i="7"/>
  <c r="A241" i="7"/>
  <c r="A240" i="7"/>
  <c r="A239" i="7"/>
  <c r="A238" i="7"/>
  <c r="A237" i="7"/>
  <c r="A236" i="7"/>
  <c r="A235" i="7"/>
  <c r="A234" i="7"/>
  <c r="A233" i="7"/>
  <c r="A232" i="7"/>
  <c r="A231" i="7"/>
  <c r="A230" i="7"/>
  <c r="A229" i="7"/>
  <c r="A228" i="7"/>
  <c r="A227" i="7"/>
  <c r="A226" i="7"/>
  <c r="A225" i="7"/>
  <c r="A224" i="7"/>
  <c r="A223" i="7"/>
  <c r="A222" i="7"/>
  <c r="A221" i="7"/>
  <c r="A220" i="7"/>
  <c r="A219" i="7"/>
  <c r="A218" i="7"/>
  <c r="A217" i="7"/>
  <c r="A216" i="7"/>
  <c r="A215" i="7"/>
  <c r="A214" i="7"/>
  <c r="A213" i="7"/>
  <c r="A212" i="7"/>
  <c r="A211" i="7"/>
  <c r="A210" i="7"/>
  <c r="A209" i="7"/>
  <c r="A208" i="7"/>
  <c r="A207" i="7"/>
  <c r="A206" i="7"/>
  <c r="A205" i="7"/>
  <c r="D204" i="7"/>
  <c r="C204" i="7"/>
  <c r="B204" i="7"/>
  <c r="A204" i="7"/>
  <c r="D203" i="7"/>
  <c r="C203" i="7"/>
  <c r="B203" i="7"/>
  <c r="A203" i="7"/>
  <c r="D202" i="7"/>
  <c r="C202" i="7"/>
  <c r="B202" i="7"/>
  <c r="A202" i="7"/>
  <c r="D201" i="7"/>
  <c r="C201" i="7"/>
  <c r="B201" i="7"/>
  <c r="A201" i="7"/>
  <c r="D200" i="7"/>
  <c r="C200" i="7"/>
  <c r="B200" i="7"/>
  <c r="A200" i="7"/>
  <c r="D199" i="7"/>
  <c r="C199" i="7"/>
  <c r="B199" i="7"/>
  <c r="A199" i="7"/>
  <c r="D198" i="7"/>
  <c r="C198" i="7"/>
  <c r="B198" i="7"/>
  <c r="A198" i="7"/>
  <c r="D197" i="7"/>
  <c r="C197" i="7"/>
  <c r="B197" i="7"/>
  <c r="A197" i="7"/>
  <c r="A196" i="7"/>
  <c r="A195" i="7"/>
  <c r="A194" i="7"/>
  <c r="A193" i="7"/>
  <c r="A192" i="7"/>
  <c r="A191" i="7"/>
  <c r="A190" i="7"/>
  <c r="A189" i="7"/>
  <c r="A188" i="7"/>
  <c r="A187" i="7"/>
  <c r="A186" i="7"/>
  <c r="A185" i="7"/>
  <c r="A184" i="7"/>
  <c r="A183" i="7"/>
  <c r="A182" i="7"/>
  <c r="A181" i="7"/>
  <c r="A180" i="7"/>
  <c r="A179" i="7"/>
  <c r="A178" i="7"/>
  <c r="A177" i="7"/>
  <c r="A176" i="7"/>
  <c r="A175" i="7"/>
  <c r="A174" i="7"/>
  <c r="A173" i="7"/>
  <c r="A172" i="7"/>
  <c r="A171" i="7"/>
  <c r="A170" i="7"/>
  <c r="A169" i="7"/>
  <c r="A168" i="7"/>
  <c r="A167" i="7"/>
  <c r="A166" i="7"/>
  <c r="A165" i="7"/>
  <c r="A164" i="7"/>
  <c r="A163" i="7"/>
  <c r="A162" i="7"/>
  <c r="A161" i="7"/>
  <c r="A160" i="7"/>
  <c r="A159" i="7"/>
  <c r="A158" i="7"/>
  <c r="A157" i="7"/>
  <c r="A156" i="7"/>
  <c r="A155" i="7"/>
  <c r="A154" i="7"/>
  <c r="A153" i="7"/>
  <c r="A152" i="7"/>
  <c r="A151" i="7"/>
  <c r="A150" i="7"/>
  <c r="A149" i="7"/>
  <c r="A148" i="7"/>
  <c r="A147" i="7"/>
  <c r="A146" i="7"/>
  <c r="A145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D114" i="7"/>
  <c r="C114" i="7"/>
  <c r="B114" i="7"/>
  <c r="A114" i="7"/>
  <c r="D113" i="7"/>
  <c r="C113" i="7"/>
  <c r="B113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D3" i="7"/>
  <c r="C3" i="7"/>
  <c r="B3" i="7"/>
  <c r="A3" i="7"/>
  <c r="D346" i="6" l="1"/>
  <c r="C346" i="6"/>
  <c r="B346" i="6"/>
  <c r="A346" i="6"/>
  <c r="D345" i="6"/>
  <c r="C345" i="6"/>
  <c r="B345" i="6"/>
  <c r="A345" i="6"/>
  <c r="D344" i="6"/>
  <c r="C344" i="6"/>
  <c r="B344" i="6"/>
  <c r="A344" i="6"/>
  <c r="D343" i="6"/>
  <c r="C343" i="6"/>
  <c r="B343" i="6"/>
  <c r="A343" i="6"/>
  <c r="D342" i="6"/>
  <c r="C342" i="6"/>
  <c r="B342" i="6"/>
  <c r="A342" i="6"/>
  <c r="D341" i="6"/>
  <c r="C341" i="6"/>
  <c r="B341" i="6"/>
  <c r="A341" i="6"/>
  <c r="D340" i="6"/>
  <c r="C340" i="6"/>
  <c r="B340" i="6"/>
  <c r="A340" i="6"/>
  <c r="D339" i="6"/>
  <c r="C339" i="6"/>
  <c r="B339" i="6"/>
  <c r="A339" i="6"/>
  <c r="D338" i="6"/>
  <c r="C338" i="6"/>
  <c r="B338" i="6"/>
  <c r="A338" i="6"/>
  <c r="D337" i="6"/>
  <c r="C337" i="6"/>
  <c r="B337" i="6"/>
  <c r="A337" i="6"/>
  <c r="D336" i="6"/>
  <c r="C336" i="6"/>
  <c r="B336" i="6"/>
  <c r="A336" i="6"/>
  <c r="D335" i="6"/>
  <c r="C335" i="6"/>
  <c r="B335" i="6"/>
  <c r="A335" i="6"/>
  <c r="D334" i="6"/>
  <c r="C334" i="6"/>
  <c r="B334" i="6"/>
  <c r="A334" i="6"/>
  <c r="D333" i="6"/>
  <c r="C333" i="6"/>
  <c r="B333" i="6"/>
  <c r="A333" i="6"/>
  <c r="D332" i="6"/>
  <c r="C332" i="6"/>
  <c r="B332" i="6"/>
  <c r="A332" i="6"/>
  <c r="D331" i="6"/>
  <c r="C331" i="6"/>
  <c r="B331" i="6"/>
  <c r="A331" i="6"/>
  <c r="D330" i="6"/>
  <c r="C330" i="6"/>
  <c r="B330" i="6"/>
  <c r="A330" i="6"/>
  <c r="D329" i="6"/>
  <c r="C329" i="6"/>
  <c r="B329" i="6"/>
  <c r="A329" i="6"/>
  <c r="D328" i="6"/>
  <c r="C328" i="6"/>
  <c r="B328" i="6"/>
  <c r="A328" i="6"/>
  <c r="D327" i="6"/>
  <c r="C327" i="6"/>
  <c r="B327" i="6"/>
  <c r="A327" i="6"/>
  <c r="D326" i="6"/>
  <c r="C326" i="6"/>
  <c r="B326" i="6"/>
  <c r="A326" i="6"/>
  <c r="D325" i="6"/>
  <c r="C325" i="6"/>
  <c r="B325" i="6"/>
  <c r="A325" i="6"/>
  <c r="D324" i="6"/>
  <c r="C324" i="6"/>
  <c r="B324" i="6"/>
  <c r="A324" i="6"/>
  <c r="D323" i="6"/>
  <c r="C323" i="6"/>
  <c r="B323" i="6"/>
  <c r="A323" i="6"/>
  <c r="D322" i="6"/>
  <c r="C322" i="6"/>
  <c r="B322" i="6"/>
  <c r="A322" i="6"/>
  <c r="A321" i="6"/>
  <c r="A320" i="6"/>
  <c r="A319" i="6"/>
  <c r="A318" i="6"/>
  <c r="A317" i="6"/>
  <c r="A316" i="6"/>
  <c r="A315" i="6"/>
  <c r="A314" i="6"/>
  <c r="A313" i="6"/>
  <c r="A312" i="6"/>
  <c r="A311" i="6"/>
  <c r="A310" i="6"/>
  <c r="A309" i="6"/>
  <c r="A308" i="6"/>
  <c r="A307" i="6"/>
  <c r="A306" i="6"/>
  <c r="A305" i="6"/>
  <c r="A304" i="6"/>
  <c r="A303" i="6"/>
  <c r="A302" i="6"/>
  <c r="A301" i="6"/>
  <c r="A300" i="6"/>
  <c r="A299" i="6"/>
  <c r="A298" i="6"/>
  <c r="A297" i="6"/>
  <c r="A296" i="6"/>
  <c r="A295" i="6"/>
  <c r="D294" i="6"/>
  <c r="C294" i="6"/>
  <c r="B294" i="6"/>
  <c r="A294" i="6"/>
  <c r="D293" i="6"/>
  <c r="C293" i="6"/>
  <c r="B293" i="6"/>
  <c r="A293" i="6"/>
  <c r="D292" i="6"/>
  <c r="C292" i="6"/>
  <c r="B292" i="6"/>
  <c r="A292" i="6"/>
  <c r="D291" i="6"/>
  <c r="C291" i="6"/>
  <c r="B291" i="6"/>
  <c r="A291" i="6"/>
  <c r="D290" i="6"/>
  <c r="C290" i="6"/>
  <c r="B290" i="6"/>
  <c r="A290" i="6"/>
  <c r="D289" i="6"/>
  <c r="C289" i="6"/>
  <c r="B289" i="6"/>
  <c r="A289" i="6"/>
  <c r="D288" i="6"/>
  <c r="C288" i="6"/>
  <c r="B288" i="6"/>
  <c r="A288" i="6"/>
  <c r="D287" i="6"/>
  <c r="C287" i="6"/>
  <c r="B287" i="6"/>
  <c r="A287" i="6"/>
  <c r="D286" i="6"/>
  <c r="C286" i="6"/>
  <c r="B286" i="6"/>
  <c r="A286" i="6"/>
  <c r="D285" i="6"/>
  <c r="C285" i="6"/>
  <c r="B285" i="6"/>
  <c r="A285" i="6"/>
  <c r="D284" i="6"/>
  <c r="C284" i="6"/>
  <c r="B284" i="6"/>
  <c r="A284" i="6"/>
  <c r="A283" i="6"/>
  <c r="A282" i="6"/>
  <c r="A281" i="6"/>
  <c r="A280" i="6"/>
  <c r="A279" i="6"/>
  <c r="A278" i="6"/>
  <c r="A277" i="6"/>
  <c r="A276" i="6"/>
  <c r="A275" i="6"/>
  <c r="A274" i="6"/>
  <c r="A273" i="6"/>
  <c r="A272" i="6"/>
  <c r="A271" i="6"/>
  <c r="A270" i="6"/>
  <c r="A269" i="6"/>
  <c r="A268" i="6"/>
  <c r="A267" i="6"/>
  <c r="A266" i="6"/>
  <c r="A265" i="6"/>
  <c r="A264" i="6"/>
  <c r="A263" i="6"/>
  <c r="A262" i="6"/>
  <c r="A261" i="6"/>
  <c r="A260" i="6"/>
  <c r="A259" i="6"/>
  <c r="A258" i="6"/>
  <c r="A257" i="6"/>
  <c r="A256" i="6"/>
  <c r="A255" i="6"/>
  <c r="A254" i="6"/>
  <c r="A253" i="6"/>
  <c r="A252" i="6"/>
  <c r="A251" i="6"/>
  <c r="A250" i="6"/>
  <c r="A249" i="6"/>
  <c r="A248" i="6"/>
  <c r="A247" i="6"/>
  <c r="A246" i="6"/>
  <c r="A245" i="6"/>
  <c r="A244" i="6"/>
  <c r="A243" i="6"/>
  <c r="A242" i="6"/>
  <c r="A241" i="6"/>
  <c r="A240" i="6"/>
  <c r="A239" i="6"/>
  <c r="A238" i="6"/>
  <c r="A237" i="6"/>
  <c r="A236" i="6"/>
  <c r="A235" i="6"/>
  <c r="A234" i="6"/>
  <c r="A233" i="6"/>
  <c r="A232" i="6"/>
  <c r="A231" i="6"/>
  <c r="A230" i="6"/>
  <c r="A229" i="6"/>
  <c r="A228" i="6"/>
  <c r="A227" i="6"/>
  <c r="A226" i="6"/>
  <c r="A225" i="6"/>
  <c r="A224" i="6"/>
  <c r="A223" i="6"/>
  <c r="A222" i="6"/>
  <c r="A221" i="6"/>
  <c r="A220" i="6"/>
  <c r="A219" i="6"/>
  <c r="A218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A204" i="6"/>
  <c r="D203" i="6"/>
  <c r="C203" i="6"/>
  <c r="B203" i="6"/>
  <c r="A203" i="6"/>
  <c r="D202" i="6"/>
  <c r="C202" i="6"/>
  <c r="B202" i="6"/>
  <c r="A202" i="6"/>
  <c r="D201" i="6"/>
  <c r="C201" i="6"/>
  <c r="B201" i="6"/>
  <c r="A201" i="6"/>
  <c r="D200" i="6"/>
  <c r="C200" i="6"/>
  <c r="B200" i="6"/>
  <c r="A200" i="6"/>
  <c r="D199" i="6"/>
  <c r="C199" i="6"/>
  <c r="B199" i="6"/>
  <c r="A199" i="6"/>
  <c r="D198" i="6"/>
  <c r="C198" i="6"/>
  <c r="B198" i="6"/>
  <c r="A198" i="6"/>
  <c r="D197" i="6"/>
  <c r="C197" i="6"/>
  <c r="B197" i="6"/>
  <c r="A197" i="6"/>
  <c r="D196" i="6"/>
  <c r="C196" i="6"/>
  <c r="B196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D111" i="6"/>
  <c r="C111" i="6"/>
  <c r="B111" i="6"/>
  <c r="A111" i="6"/>
  <c r="D110" i="6"/>
  <c r="C110" i="6"/>
  <c r="B110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D3" i="6"/>
  <c r="C3" i="6"/>
  <c r="B3" i="6"/>
  <c r="A3" i="6"/>
  <c r="D343" i="5" l="1"/>
  <c r="C343" i="5"/>
  <c r="B343" i="5"/>
  <c r="A343" i="5"/>
  <c r="D342" i="5"/>
  <c r="C342" i="5"/>
  <c r="B342" i="5"/>
  <c r="A342" i="5"/>
  <c r="D341" i="5"/>
  <c r="C341" i="5"/>
  <c r="B341" i="5"/>
  <c r="A341" i="5"/>
  <c r="D340" i="5"/>
  <c r="C340" i="5"/>
  <c r="B340" i="5"/>
  <c r="A340" i="5"/>
  <c r="D339" i="5"/>
  <c r="C339" i="5"/>
  <c r="B339" i="5"/>
  <c r="A339" i="5"/>
  <c r="D338" i="5"/>
  <c r="C338" i="5"/>
  <c r="B338" i="5"/>
  <c r="A338" i="5"/>
  <c r="D337" i="5"/>
  <c r="C337" i="5"/>
  <c r="B337" i="5"/>
  <c r="A337" i="5"/>
  <c r="D336" i="5"/>
  <c r="C336" i="5"/>
  <c r="B336" i="5"/>
  <c r="A336" i="5"/>
  <c r="D335" i="5"/>
  <c r="C335" i="5"/>
  <c r="B335" i="5"/>
  <c r="A335" i="5"/>
  <c r="D334" i="5"/>
  <c r="C334" i="5"/>
  <c r="B334" i="5"/>
  <c r="A334" i="5"/>
  <c r="D333" i="5"/>
  <c r="C333" i="5"/>
  <c r="B333" i="5"/>
  <c r="A333" i="5"/>
  <c r="D332" i="5"/>
  <c r="C332" i="5"/>
  <c r="B332" i="5"/>
  <c r="A332" i="5"/>
  <c r="D331" i="5"/>
  <c r="C331" i="5"/>
  <c r="B331" i="5"/>
  <c r="A331" i="5"/>
  <c r="D330" i="5"/>
  <c r="C330" i="5"/>
  <c r="B330" i="5"/>
  <c r="A330" i="5"/>
  <c r="D329" i="5"/>
  <c r="C329" i="5"/>
  <c r="B329" i="5"/>
  <c r="A329" i="5"/>
  <c r="D328" i="5"/>
  <c r="C328" i="5"/>
  <c r="B328" i="5"/>
  <c r="A328" i="5"/>
  <c r="D327" i="5"/>
  <c r="C327" i="5"/>
  <c r="B327" i="5"/>
  <c r="A327" i="5"/>
  <c r="D326" i="5"/>
  <c r="C326" i="5"/>
  <c r="B326" i="5"/>
  <c r="A326" i="5"/>
  <c r="D325" i="5"/>
  <c r="C325" i="5"/>
  <c r="B325" i="5"/>
  <c r="A325" i="5"/>
  <c r="D324" i="5"/>
  <c r="C324" i="5"/>
  <c r="B324" i="5"/>
  <c r="A324" i="5"/>
  <c r="D323" i="5"/>
  <c r="C323" i="5"/>
  <c r="B323" i="5"/>
  <c r="A323" i="5"/>
  <c r="D322" i="5"/>
  <c r="C322" i="5"/>
  <c r="B322" i="5"/>
  <c r="A322" i="5"/>
  <c r="D321" i="5"/>
  <c r="C321" i="5"/>
  <c r="B321" i="5"/>
  <c r="A321" i="5"/>
  <c r="D320" i="5"/>
  <c r="C320" i="5"/>
  <c r="B320" i="5"/>
  <c r="A320" i="5"/>
  <c r="D319" i="5"/>
  <c r="C319" i="5"/>
  <c r="B319" i="5"/>
  <c r="A319" i="5"/>
  <c r="A318" i="5"/>
  <c r="A317" i="5"/>
  <c r="A316" i="5"/>
  <c r="A315" i="5"/>
  <c r="A314" i="5"/>
  <c r="A313" i="5"/>
  <c r="A312" i="5"/>
  <c r="A311" i="5"/>
  <c r="A310" i="5"/>
  <c r="A309" i="5"/>
  <c r="A308" i="5"/>
  <c r="A307" i="5"/>
  <c r="A306" i="5"/>
  <c r="A305" i="5"/>
  <c r="A304" i="5"/>
  <c r="A303" i="5"/>
  <c r="A302" i="5"/>
  <c r="A301" i="5"/>
  <c r="A300" i="5"/>
  <c r="A299" i="5"/>
  <c r="A298" i="5"/>
  <c r="A297" i="5"/>
  <c r="A296" i="5"/>
  <c r="A295" i="5"/>
  <c r="A294" i="5"/>
  <c r="A293" i="5"/>
  <c r="A292" i="5"/>
  <c r="D291" i="5"/>
  <c r="C291" i="5"/>
  <c r="B291" i="5"/>
  <c r="A291" i="5"/>
  <c r="D290" i="5"/>
  <c r="C290" i="5"/>
  <c r="B290" i="5"/>
  <c r="A290" i="5"/>
  <c r="D289" i="5"/>
  <c r="C289" i="5"/>
  <c r="B289" i="5"/>
  <c r="A289" i="5"/>
  <c r="D288" i="5"/>
  <c r="C288" i="5"/>
  <c r="B288" i="5"/>
  <c r="A288" i="5"/>
  <c r="D287" i="5"/>
  <c r="C287" i="5"/>
  <c r="B287" i="5"/>
  <c r="A287" i="5"/>
  <c r="D286" i="5"/>
  <c r="C286" i="5"/>
  <c r="B286" i="5"/>
  <c r="A286" i="5"/>
  <c r="D285" i="5"/>
  <c r="C285" i="5"/>
  <c r="B285" i="5"/>
  <c r="A285" i="5"/>
  <c r="D284" i="5"/>
  <c r="C284" i="5"/>
  <c r="B284" i="5"/>
  <c r="A284" i="5"/>
  <c r="D283" i="5"/>
  <c r="C283" i="5"/>
  <c r="B283" i="5"/>
  <c r="A283" i="5"/>
  <c r="D282" i="5"/>
  <c r="C282" i="5"/>
  <c r="B282" i="5"/>
  <c r="A282" i="5"/>
  <c r="D281" i="5"/>
  <c r="C281" i="5"/>
  <c r="B281" i="5"/>
  <c r="A281" i="5"/>
  <c r="A280" i="5"/>
  <c r="A279" i="5"/>
  <c r="A278" i="5"/>
  <c r="A277" i="5"/>
  <c r="A276" i="5"/>
  <c r="A275" i="5"/>
  <c r="A274" i="5"/>
  <c r="A273" i="5"/>
  <c r="A272" i="5"/>
  <c r="A271" i="5"/>
  <c r="A270" i="5"/>
  <c r="A269" i="5"/>
  <c r="A268" i="5"/>
  <c r="A267" i="5"/>
  <c r="A266" i="5"/>
  <c r="A265" i="5"/>
  <c r="A264" i="5"/>
  <c r="A263" i="5"/>
  <c r="A262" i="5"/>
  <c r="A261" i="5"/>
  <c r="A260" i="5"/>
  <c r="A259" i="5"/>
  <c r="A258" i="5"/>
  <c r="A257" i="5"/>
  <c r="A256" i="5"/>
  <c r="A255" i="5"/>
  <c r="A254" i="5"/>
  <c r="A253" i="5"/>
  <c r="A252" i="5"/>
  <c r="A251" i="5"/>
  <c r="A250" i="5"/>
  <c r="A249" i="5"/>
  <c r="A248" i="5"/>
  <c r="A247" i="5"/>
  <c r="A246" i="5"/>
  <c r="A245" i="5"/>
  <c r="A244" i="5"/>
  <c r="A243" i="5"/>
  <c r="A242" i="5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208" i="5"/>
  <c r="A207" i="5"/>
  <c r="A206" i="5"/>
  <c r="A205" i="5"/>
  <c r="A204" i="5"/>
  <c r="A203" i="5"/>
  <c r="D202" i="5"/>
  <c r="C202" i="5"/>
  <c r="B202" i="5"/>
  <c r="A202" i="5"/>
  <c r="D201" i="5"/>
  <c r="C201" i="5"/>
  <c r="B201" i="5"/>
  <c r="A201" i="5"/>
  <c r="D200" i="5"/>
  <c r="C200" i="5"/>
  <c r="B200" i="5"/>
  <c r="A200" i="5"/>
  <c r="D199" i="5"/>
  <c r="C199" i="5"/>
  <c r="B199" i="5"/>
  <c r="A199" i="5"/>
  <c r="D198" i="5"/>
  <c r="C198" i="5"/>
  <c r="B198" i="5"/>
  <c r="A198" i="5"/>
  <c r="D197" i="5"/>
  <c r="C197" i="5"/>
  <c r="B197" i="5"/>
  <c r="A197" i="5"/>
  <c r="D196" i="5"/>
  <c r="C196" i="5"/>
  <c r="B196" i="5"/>
  <c r="A196" i="5"/>
  <c r="D195" i="5"/>
  <c r="C195" i="5"/>
  <c r="B195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D111" i="5"/>
  <c r="C111" i="5"/>
  <c r="B111" i="5"/>
  <c r="A111" i="5"/>
  <c r="D110" i="5"/>
  <c r="C110" i="5"/>
  <c r="B110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D3" i="5"/>
  <c r="C3" i="5"/>
  <c r="B3" i="5"/>
  <c r="A3" i="5"/>
  <c r="D341" i="4" l="1"/>
  <c r="C341" i="4"/>
  <c r="B341" i="4"/>
  <c r="A341" i="4"/>
  <c r="D340" i="4"/>
  <c r="C340" i="4"/>
  <c r="B340" i="4"/>
  <c r="A340" i="4"/>
  <c r="D339" i="4"/>
  <c r="C339" i="4"/>
  <c r="B339" i="4"/>
  <c r="A339" i="4"/>
  <c r="D338" i="4"/>
  <c r="C338" i="4"/>
  <c r="B338" i="4"/>
  <c r="A338" i="4"/>
  <c r="D337" i="4"/>
  <c r="C337" i="4"/>
  <c r="B337" i="4"/>
  <c r="A337" i="4"/>
  <c r="D336" i="4"/>
  <c r="C336" i="4"/>
  <c r="B336" i="4"/>
  <c r="A336" i="4"/>
  <c r="D335" i="4"/>
  <c r="C335" i="4"/>
  <c r="B335" i="4"/>
  <c r="A335" i="4"/>
  <c r="D334" i="4"/>
  <c r="C334" i="4"/>
  <c r="B334" i="4"/>
  <c r="A334" i="4"/>
  <c r="D333" i="4"/>
  <c r="C333" i="4"/>
  <c r="B333" i="4"/>
  <c r="A333" i="4"/>
  <c r="D332" i="4"/>
  <c r="C332" i="4"/>
  <c r="B332" i="4"/>
  <c r="A332" i="4"/>
  <c r="D331" i="4"/>
  <c r="C331" i="4"/>
  <c r="B331" i="4"/>
  <c r="A331" i="4"/>
  <c r="D330" i="4"/>
  <c r="C330" i="4"/>
  <c r="B330" i="4"/>
  <c r="A330" i="4"/>
  <c r="D329" i="4"/>
  <c r="C329" i="4"/>
  <c r="B329" i="4"/>
  <c r="A329" i="4"/>
  <c r="D328" i="4"/>
  <c r="C328" i="4"/>
  <c r="B328" i="4"/>
  <c r="A328" i="4"/>
  <c r="D327" i="4"/>
  <c r="C327" i="4"/>
  <c r="B327" i="4"/>
  <c r="A327" i="4"/>
  <c r="D326" i="4"/>
  <c r="C326" i="4"/>
  <c r="B326" i="4"/>
  <c r="A326" i="4"/>
  <c r="D325" i="4"/>
  <c r="C325" i="4"/>
  <c r="B325" i="4"/>
  <c r="A325" i="4"/>
  <c r="D324" i="4"/>
  <c r="C324" i="4"/>
  <c r="B324" i="4"/>
  <c r="A324" i="4"/>
  <c r="D323" i="4"/>
  <c r="C323" i="4"/>
  <c r="B323" i="4"/>
  <c r="A323" i="4"/>
  <c r="D322" i="4"/>
  <c r="C322" i="4"/>
  <c r="B322" i="4"/>
  <c r="A322" i="4"/>
  <c r="D321" i="4"/>
  <c r="C321" i="4"/>
  <c r="B321" i="4"/>
  <c r="A321" i="4"/>
  <c r="D320" i="4"/>
  <c r="C320" i="4"/>
  <c r="B320" i="4"/>
  <c r="A320" i="4"/>
  <c r="D319" i="4"/>
  <c r="C319" i="4"/>
  <c r="B319" i="4"/>
  <c r="A319" i="4"/>
  <c r="D318" i="4"/>
  <c r="C318" i="4"/>
  <c r="B318" i="4"/>
  <c r="A318" i="4"/>
  <c r="D317" i="4"/>
  <c r="C317" i="4"/>
  <c r="B317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D289" i="4"/>
  <c r="C289" i="4"/>
  <c r="B289" i="4"/>
  <c r="A289" i="4"/>
  <c r="D288" i="4"/>
  <c r="C288" i="4"/>
  <c r="B288" i="4"/>
  <c r="A288" i="4"/>
  <c r="D287" i="4"/>
  <c r="C287" i="4"/>
  <c r="B287" i="4"/>
  <c r="A287" i="4"/>
  <c r="D286" i="4"/>
  <c r="C286" i="4"/>
  <c r="B286" i="4"/>
  <c r="A286" i="4"/>
  <c r="D285" i="4"/>
  <c r="C285" i="4"/>
  <c r="B285" i="4"/>
  <c r="A285" i="4"/>
  <c r="D284" i="4"/>
  <c r="C284" i="4"/>
  <c r="B284" i="4"/>
  <c r="A284" i="4"/>
  <c r="D283" i="4"/>
  <c r="C283" i="4"/>
  <c r="B283" i="4"/>
  <c r="A283" i="4"/>
  <c r="D282" i="4"/>
  <c r="C282" i="4"/>
  <c r="B282" i="4"/>
  <c r="A282" i="4"/>
  <c r="D281" i="4"/>
  <c r="C281" i="4"/>
  <c r="B281" i="4"/>
  <c r="A281" i="4"/>
  <c r="D280" i="4"/>
  <c r="C280" i="4"/>
  <c r="B280" i="4"/>
  <c r="A280" i="4"/>
  <c r="D279" i="4"/>
  <c r="C279" i="4"/>
  <c r="B279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D202" i="4"/>
  <c r="C202" i="4"/>
  <c r="B202" i="4"/>
  <c r="A202" i="4"/>
  <c r="D201" i="4"/>
  <c r="C201" i="4"/>
  <c r="B201" i="4"/>
  <c r="A201" i="4"/>
  <c r="D200" i="4"/>
  <c r="C200" i="4"/>
  <c r="B200" i="4"/>
  <c r="A200" i="4"/>
  <c r="D199" i="4"/>
  <c r="C199" i="4"/>
  <c r="B199" i="4"/>
  <c r="A199" i="4"/>
  <c r="D198" i="4"/>
  <c r="C198" i="4"/>
  <c r="B198" i="4"/>
  <c r="A198" i="4"/>
  <c r="D197" i="4"/>
  <c r="C197" i="4"/>
  <c r="B197" i="4"/>
  <c r="A197" i="4"/>
  <c r="D196" i="4"/>
  <c r="C196" i="4"/>
  <c r="B196" i="4"/>
  <c r="A196" i="4"/>
  <c r="D195" i="4"/>
  <c r="C195" i="4"/>
  <c r="B195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D111" i="4"/>
  <c r="C111" i="4"/>
  <c r="B111" i="4"/>
  <c r="A111" i="4"/>
  <c r="D110" i="4"/>
  <c r="C110" i="4"/>
  <c r="B110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D3" i="4"/>
  <c r="C3" i="4"/>
  <c r="B3" i="4"/>
  <c r="A3" i="4"/>
  <c r="D341" i="3" l="1"/>
  <c r="C341" i="3"/>
  <c r="B341" i="3"/>
  <c r="A341" i="3"/>
  <c r="D340" i="3"/>
  <c r="C340" i="3"/>
  <c r="B340" i="3"/>
  <c r="A340" i="3"/>
  <c r="D339" i="3"/>
  <c r="C339" i="3"/>
  <c r="B339" i="3"/>
  <c r="A339" i="3"/>
  <c r="D338" i="3"/>
  <c r="C338" i="3"/>
  <c r="B338" i="3"/>
  <c r="A338" i="3"/>
  <c r="D337" i="3"/>
  <c r="C337" i="3"/>
  <c r="B337" i="3"/>
  <c r="A337" i="3"/>
  <c r="D336" i="3"/>
  <c r="C336" i="3"/>
  <c r="B336" i="3"/>
  <c r="A336" i="3"/>
  <c r="D335" i="3"/>
  <c r="C335" i="3"/>
  <c r="B335" i="3"/>
  <c r="A335" i="3"/>
  <c r="D334" i="3"/>
  <c r="C334" i="3"/>
  <c r="B334" i="3"/>
  <c r="A334" i="3"/>
  <c r="D333" i="3"/>
  <c r="C333" i="3"/>
  <c r="B333" i="3"/>
  <c r="A333" i="3"/>
  <c r="D332" i="3"/>
  <c r="C332" i="3"/>
  <c r="B332" i="3"/>
  <c r="A332" i="3"/>
  <c r="D331" i="3"/>
  <c r="C331" i="3"/>
  <c r="B331" i="3"/>
  <c r="A331" i="3"/>
  <c r="D330" i="3"/>
  <c r="C330" i="3"/>
  <c r="B330" i="3"/>
  <c r="A330" i="3"/>
  <c r="D329" i="3"/>
  <c r="C329" i="3"/>
  <c r="B329" i="3"/>
  <c r="A329" i="3"/>
  <c r="D328" i="3"/>
  <c r="C328" i="3"/>
  <c r="B328" i="3"/>
  <c r="A328" i="3"/>
  <c r="D327" i="3"/>
  <c r="C327" i="3"/>
  <c r="B327" i="3"/>
  <c r="A327" i="3"/>
  <c r="D326" i="3"/>
  <c r="C326" i="3"/>
  <c r="B326" i="3"/>
  <c r="A326" i="3"/>
  <c r="D325" i="3"/>
  <c r="C325" i="3"/>
  <c r="B325" i="3"/>
  <c r="A325" i="3"/>
  <c r="D324" i="3"/>
  <c r="C324" i="3"/>
  <c r="B324" i="3"/>
  <c r="A324" i="3"/>
  <c r="D323" i="3"/>
  <c r="C323" i="3"/>
  <c r="B323" i="3"/>
  <c r="A323" i="3"/>
  <c r="D322" i="3"/>
  <c r="C322" i="3"/>
  <c r="B322" i="3"/>
  <c r="A322" i="3"/>
  <c r="D321" i="3"/>
  <c r="C321" i="3"/>
  <c r="B321" i="3"/>
  <c r="A321" i="3"/>
  <c r="D320" i="3"/>
  <c r="C320" i="3"/>
  <c r="B320" i="3"/>
  <c r="A320" i="3"/>
  <c r="D319" i="3"/>
  <c r="C319" i="3"/>
  <c r="B319" i="3"/>
  <c r="A319" i="3"/>
  <c r="D318" i="3"/>
  <c r="C318" i="3"/>
  <c r="B318" i="3"/>
  <c r="A318" i="3"/>
  <c r="D317" i="3"/>
  <c r="C317" i="3"/>
  <c r="B317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D289" i="3"/>
  <c r="C289" i="3"/>
  <c r="B289" i="3"/>
  <c r="A289" i="3"/>
  <c r="D288" i="3"/>
  <c r="C288" i="3"/>
  <c r="B288" i="3"/>
  <c r="A288" i="3"/>
  <c r="D287" i="3"/>
  <c r="C287" i="3"/>
  <c r="B287" i="3"/>
  <c r="A287" i="3"/>
  <c r="D286" i="3"/>
  <c r="C286" i="3"/>
  <c r="B286" i="3"/>
  <c r="A286" i="3"/>
  <c r="D285" i="3"/>
  <c r="C285" i="3"/>
  <c r="B285" i="3"/>
  <c r="A285" i="3"/>
  <c r="D284" i="3"/>
  <c r="C284" i="3"/>
  <c r="B284" i="3"/>
  <c r="A284" i="3"/>
  <c r="D283" i="3"/>
  <c r="C283" i="3"/>
  <c r="B283" i="3"/>
  <c r="A283" i="3"/>
  <c r="D282" i="3"/>
  <c r="C282" i="3"/>
  <c r="B282" i="3"/>
  <c r="A282" i="3"/>
  <c r="D281" i="3"/>
  <c r="C281" i="3"/>
  <c r="B281" i="3"/>
  <c r="A281" i="3"/>
  <c r="D280" i="3"/>
  <c r="C280" i="3"/>
  <c r="B280" i="3"/>
  <c r="A280" i="3"/>
  <c r="D279" i="3"/>
  <c r="C279" i="3"/>
  <c r="B279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D204" i="3"/>
  <c r="C204" i="3"/>
  <c r="B204" i="3"/>
  <c r="A204" i="3"/>
  <c r="D203" i="3"/>
  <c r="C203" i="3"/>
  <c r="B203" i="3"/>
  <c r="A203" i="3"/>
  <c r="D202" i="3"/>
  <c r="C202" i="3"/>
  <c r="B202" i="3"/>
  <c r="A202" i="3"/>
  <c r="D201" i="3"/>
  <c r="C201" i="3"/>
  <c r="B201" i="3"/>
  <c r="A201" i="3"/>
  <c r="D200" i="3"/>
  <c r="C200" i="3"/>
  <c r="B200" i="3"/>
  <c r="A200" i="3"/>
  <c r="D199" i="3"/>
  <c r="C199" i="3"/>
  <c r="B199" i="3"/>
  <c r="A199" i="3"/>
  <c r="D198" i="3"/>
  <c r="C198" i="3"/>
  <c r="B198" i="3"/>
  <c r="A198" i="3"/>
  <c r="D197" i="3"/>
  <c r="C197" i="3"/>
  <c r="B197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D114" i="3"/>
  <c r="C114" i="3"/>
  <c r="B114" i="3"/>
  <c r="A114" i="3"/>
  <c r="D113" i="3"/>
  <c r="C113" i="3"/>
  <c r="B113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D3" i="3"/>
  <c r="C3" i="3"/>
  <c r="B3" i="3"/>
  <c r="A3" i="3"/>
  <c r="D339" i="2" l="1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D205" i="2"/>
  <c r="C205" i="2"/>
  <c r="B205" i="2"/>
  <c r="A205" i="2"/>
  <c r="D204" i="2"/>
  <c r="C204" i="2"/>
  <c r="B204" i="2"/>
  <c r="A204" i="2"/>
  <c r="D203" i="2"/>
  <c r="C203" i="2"/>
  <c r="B203" i="2"/>
  <c r="A203" i="2"/>
  <c r="D202" i="2"/>
  <c r="C202" i="2"/>
  <c r="B202" i="2"/>
  <c r="A202" i="2"/>
  <c r="D201" i="2"/>
  <c r="C201" i="2"/>
  <c r="B201" i="2"/>
  <c r="A201" i="2"/>
  <c r="D200" i="2"/>
  <c r="C200" i="2"/>
  <c r="B200" i="2"/>
  <c r="A200" i="2"/>
  <c r="D199" i="2"/>
  <c r="C199" i="2"/>
  <c r="B199" i="2"/>
  <c r="A199" i="2"/>
  <c r="D198" i="2"/>
  <c r="C198" i="2"/>
  <c r="B198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D114" i="2"/>
  <c r="C114" i="2"/>
  <c r="B114" i="2"/>
  <c r="A114" i="2"/>
  <c r="D113" i="2"/>
  <c r="C113" i="2"/>
  <c r="B113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D3" i="2"/>
  <c r="C3" i="2"/>
  <c r="B3" i="2"/>
  <c r="A3" i="2"/>
  <c r="A3" i="1" l="1"/>
  <c r="B3" i="1"/>
  <c r="C3" i="1"/>
  <c r="D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B131" i="1"/>
  <c r="C131" i="1"/>
  <c r="D131" i="1"/>
  <c r="A132" i="1"/>
  <c r="B132" i="1"/>
  <c r="C132" i="1"/>
  <c r="D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B218" i="1"/>
  <c r="C218" i="1"/>
  <c r="D218" i="1"/>
  <c r="A219" i="1"/>
  <c r="B219" i="1"/>
  <c r="C219" i="1"/>
  <c r="D219" i="1"/>
  <c r="A220" i="1"/>
  <c r="B220" i="1"/>
  <c r="C220" i="1"/>
  <c r="D220" i="1"/>
  <c r="A221" i="1"/>
  <c r="B221" i="1"/>
  <c r="C221" i="1"/>
  <c r="D221" i="1"/>
  <c r="A222" i="1"/>
  <c r="B222" i="1"/>
  <c r="C222" i="1"/>
  <c r="D222" i="1"/>
  <c r="B223" i="1"/>
  <c r="C223" i="1"/>
  <c r="D223" i="1"/>
  <c r="A224" i="1"/>
  <c r="B224" i="1"/>
  <c r="C224" i="1"/>
  <c r="D224" i="1"/>
  <c r="A225" i="1"/>
  <c r="B225" i="1"/>
  <c r="C225" i="1"/>
  <c r="D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B290" i="1"/>
  <c r="C290" i="1"/>
  <c r="D290" i="1"/>
  <c r="A291" i="1"/>
  <c r="B291" i="1"/>
  <c r="C291" i="1"/>
  <c r="D291" i="1"/>
  <c r="A292" i="1"/>
  <c r="B292" i="1"/>
  <c r="C292" i="1"/>
  <c r="D292" i="1"/>
  <c r="A293" i="1"/>
  <c r="B293" i="1"/>
  <c r="C293" i="1"/>
  <c r="D293" i="1"/>
  <c r="A294" i="1"/>
  <c r="B294" i="1"/>
  <c r="C294" i="1"/>
  <c r="D294" i="1"/>
  <c r="A295" i="1"/>
  <c r="B295" i="1"/>
  <c r="C295" i="1"/>
  <c r="D295" i="1"/>
  <c r="A296" i="1"/>
  <c r="B296" i="1"/>
  <c r="C296" i="1"/>
  <c r="D296" i="1"/>
  <c r="A297" i="1"/>
  <c r="B297" i="1"/>
  <c r="C297" i="1"/>
  <c r="D297" i="1"/>
  <c r="A298" i="1"/>
  <c r="B298" i="1"/>
  <c r="C298" i="1"/>
  <c r="D298" i="1"/>
  <c r="A299" i="1"/>
  <c r="B299" i="1"/>
  <c r="C299" i="1"/>
  <c r="D299" i="1"/>
  <c r="A300" i="1"/>
  <c r="B300" i="1"/>
  <c r="C300" i="1"/>
  <c r="D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B326" i="1"/>
  <c r="C326" i="1"/>
  <c r="D326" i="1"/>
  <c r="A327" i="1"/>
  <c r="B327" i="1"/>
  <c r="C327" i="1"/>
  <c r="D327" i="1"/>
  <c r="A328" i="1"/>
  <c r="B328" i="1"/>
  <c r="C328" i="1"/>
  <c r="D328" i="1"/>
  <c r="A329" i="1"/>
  <c r="B329" i="1"/>
  <c r="C329" i="1"/>
  <c r="D329" i="1"/>
  <c r="A330" i="1"/>
  <c r="B330" i="1"/>
  <c r="C330" i="1"/>
  <c r="D330" i="1"/>
  <c r="A331" i="1"/>
  <c r="B331" i="1"/>
  <c r="C331" i="1"/>
  <c r="D331" i="1"/>
  <c r="A332" i="1"/>
  <c r="B332" i="1"/>
  <c r="C332" i="1"/>
  <c r="D332" i="1"/>
  <c r="A333" i="1"/>
  <c r="B333" i="1"/>
  <c r="C333" i="1"/>
  <c r="D333" i="1"/>
  <c r="A334" i="1"/>
  <c r="B334" i="1"/>
  <c r="C334" i="1"/>
  <c r="D334" i="1"/>
  <c r="A335" i="1"/>
  <c r="B335" i="1"/>
  <c r="C335" i="1"/>
  <c r="D335" i="1"/>
  <c r="A336" i="1"/>
  <c r="B336" i="1"/>
  <c r="C336" i="1"/>
  <c r="D336" i="1"/>
  <c r="A337" i="1"/>
  <c r="B337" i="1"/>
  <c r="C337" i="1"/>
  <c r="D337" i="1"/>
  <c r="A338" i="1"/>
  <c r="B338" i="1"/>
  <c r="C338" i="1"/>
  <c r="D338" i="1"/>
  <c r="A339" i="1"/>
  <c r="B339" i="1"/>
  <c r="C339" i="1"/>
  <c r="D339" i="1"/>
  <c r="A340" i="1"/>
  <c r="B340" i="1"/>
  <c r="C340" i="1"/>
  <c r="D340" i="1"/>
  <c r="A341" i="1"/>
  <c r="B341" i="1"/>
  <c r="C341" i="1"/>
  <c r="D341" i="1"/>
  <c r="A342" i="1"/>
  <c r="B342" i="1"/>
  <c r="C342" i="1"/>
  <c r="D342" i="1"/>
  <c r="A343" i="1"/>
  <c r="B343" i="1"/>
  <c r="C343" i="1"/>
  <c r="D343" i="1"/>
  <c r="A344" i="1"/>
  <c r="B344" i="1"/>
  <c r="C344" i="1"/>
  <c r="D344" i="1"/>
  <c r="A345" i="1"/>
  <c r="B345" i="1"/>
  <c r="C345" i="1"/>
  <c r="D345" i="1"/>
  <c r="A346" i="1"/>
  <c r="B346" i="1"/>
  <c r="C346" i="1"/>
  <c r="D346" i="1"/>
  <c r="A347" i="1"/>
  <c r="B347" i="1"/>
  <c r="C347" i="1"/>
  <c r="D347" i="1"/>
  <c r="A348" i="1"/>
  <c r="B348" i="1"/>
  <c r="C348" i="1"/>
  <c r="D348" i="1"/>
  <c r="A349" i="1"/>
  <c r="B349" i="1"/>
  <c r="C349" i="1"/>
  <c r="D349" i="1"/>
  <c r="A350" i="1"/>
  <c r="B350" i="1"/>
  <c r="C350" i="1"/>
  <c r="D350" i="1"/>
</calcChain>
</file>

<file path=xl/sharedStrings.xml><?xml version="1.0" encoding="utf-8"?>
<sst xmlns="http://schemas.openxmlformats.org/spreadsheetml/2006/main" count="72" uniqueCount="17">
  <si>
    <t>Balancete Analitico                                                        Período de Referência: 01/2017</t>
  </si>
  <si>
    <t xml:space="preserve"> </t>
  </si>
  <si>
    <t>Balancete Analitico                                                        Período de Referência: 02/2017</t>
  </si>
  <si>
    <t>Balancete Analitico                                                        Período de Referência: 03/2017</t>
  </si>
  <si>
    <t>Balancete Analitico                                                        Período de Referência: 04/2017</t>
  </si>
  <si>
    <t>Balancete Analitico                                                        Período de Referência: 05/2017</t>
  </si>
  <si>
    <t>Balancete Analitico                                                        Período de Referência: 06/2017</t>
  </si>
  <si>
    <t>Balancete Analitico                                                        Período de Referência: 07/2017</t>
  </si>
  <si>
    <t>Balancete Analitico                                                        Período de Referência: 08/2017</t>
  </si>
  <si>
    <t>Balancete Analitico                                                        Período de Referência: 09/2017</t>
  </si>
  <si>
    <t>Balancete Analitico                                                        Período de Referência: 10/2017</t>
  </si>
  <si>
    <t>Balancete Analitico                                                        Período de Referência: 11/2017</t>
  </si>
  <si>
    <t>Balancete Analitico                                                        Período de Referência: 12/2017</t>
  </si>
  <si>
    <t>Descricao</t>
  </si>
  <si>
    <t>Saldo Inicial!R$</t>
  </si>
  <si>
    <t>Movimento!R$</t>
  </si>
  <si>
    <t>Saldo Final!R$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</si>
</sst>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33" borderId="0" xfId="0" applyFont="1" applyFill="1"/>
    <xf numFmtId="0" fontId="0" fillId="0" borderId="11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0" fontId="0" fillId="0" borderId="14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16" fillId="34" borderId="10" xfId="0" applyFont="1" applyFill="1" applyBorder="1"/>
    <xf numFmtId="0" fontId="16" fillId="34" borderId="17" xfId="0" applyFont="1" applyFill="1" applyBorder="1"/>
    <xf numFmtId="164" fontId="0" fillId="0" borderId="12" xfId="0" applyNumberFormat="1" applyBorder="1"/>
    <xf numFmtId="4" fontId="0" fillId="0" borderId="0" xfId="0" applyNumberFormat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1"/>
  <sheetViews>
    <sheetView tabSelected="1" workbookViewId="0">
      <selection activeCell="E1" sqref="E1"/>
    </sheetView>
  </sheetViews>
  <sheetFormatPr defaultRowHeight="15" x14ac:dyDescent="0.25"/>
  <cols>
    <col min="1" max="1" width="71.5703125" bestFit="1" customWidth="1"/>
    <col min="2" max="2" width="14.5703125" bestFit="1" customWidth="1"/>
    <col min="3" max="3" width="14.28515625" bestFit="1" customWidth="1"/>
    <col min="4" max="4" width="14.5703125" bestFit="1" customWidth="1"/>
    <col min="5" max="5" width="12.7109375" bestFit="1" customWidth="1"/>
  </cols>
  <sheetData>
    <row r="1" spans="1:5" ht="19.5" thickBot="1" x14ac:dyDescent="0.35">
      <c r="A1" s="1" t="s">
        <v>0</v>
      </c>
      <c r="B1" s="1"/>
      <c r="C1" s="1"/>
      <c r="D1" s="1"/>
    </row>
    <row r="2" spans="1:5" ht="15.75" thickBot="1" x14ac:dyDescent="0.3">
      <c r="A2" s="8" t="s">
        <v>13</v>
      </c>
      <c r="B2" s="9" t="s">
        <v>14</v>
      </c>
      <c r="C2" s="9" t="s">
        <v>15</v>
      </c>
      <c r="D2" s="9" t="s">
        <v>16</v>
      </c>
    </row>
    <row r="3" spans="1:5" x14ac:dyDescent="0.25">
      <c r="A3" s="6" t="str">
        <f>"ATIVO"</f>
        <v>ATIVO</v>
      </c>
      <c r="B3" s="7" t="str">
        <f>""</f>
        <v/>
      </c>
      <c r="C3" s="7" t="str">
        <f>""</f>
        <v/>
      </c>
      <c r="D3" s="7" t="str">
        <f>""</f>
        <v/>
      </c>
    </row>
    <row r="4" spans="1:5" x14ac:dyDescent="0.25">
      <c r="A4" s="2" t="str">
        <f>"1.0.0.00.00- ATIVO"</f>
        <v>1.0.0.00.00- ATIVO</v>
      </c>
      <c r="B4" s="10">
        <v>26544219</v>
      </c>
      <c r="C4" s="10">
        <v>1735012.47</v>
      </c>
      <c r="D4" s="10">
        <v>28279231.469999999</v>
      </c>
      <c r="E4" s="11"/>
    </row>
    <row r="5" spans="1:5" x14ac:dyDescent="0.25">
      <c r="A5" s="2" t="str">
        <f>"1.1.0.00.00- ATIVO CIRCULANTE"</f>
        <v>1.1.0.00.00- ATIVO CIRCULANTE</v>
      </c>
      <c r="B5" s="10">
        <v>17104475.07</v>
      </c>
      <c r="C5" s="10">
        <v>1495868</v>
      </c>
      <c r="D5" s="10">
        <v>18600343.07</v>
      </c>
      <c r="E5" s="11"/>
    </row>
    <row r="6" spans="1:5" x14ac:dyDescent="0.25">
      <c r="A6" s="2" t="str">
        <f>"1.1.1.00.00- DISPONIVEL"</f>
        <v>1.1.1.00.00- DISPONIVEL</v>
      </c>
      <c r="B6" s="10">
        <v>5418720.3099999996</v>
      </c>
      <c r="C6" s="10">
        <v>1397985.64</v>
      </c>
      <c r="D6" s="10">
        <v>6816705.9500000002</v>
      </c>
    </row>
    <row r="7" spans="1:5" x14ac:dyDescent="0.25">
      <c r="A7" s="2" t="str">
        <f>"1.1.1.02.00- BANCOS C/MOVIMENTO"</f>
        <v>1.1.1.02.00- BANCOS C/MOVIMENTO</v>
      </c>
      <c r="B7" s="10">
        <v>283752.89</v>
      </c>
      <c r="C7" s="10">
        <v>756950.19</v>
      </c>
      <c r="D7" s="10">
        <v>1040703.08</v>
      </c>
    </row>
    <row r="8" spans="1:5" x14ac:dyDescent="0.25">
      <c r="A8" s="2" t="str">
        <f>"1.1.1.02.11- Banco do Brasil S/A - 720.000-5"</f>
        <v>1.1.1.02.11- Banco do Brasil S/A - 720.000-5</v>
      </c>
      <c r="B8" s="10">
        <v>90.05</v>
      </c>
      <c r="C8" s="10">
        <v>7640.92</v>
      </c>
      <c r="D8" s="10">
        <v>7730.97</v>
      </c>
    </row>
    <row r="9" spans="1:5" x14ac:dyDescent="0.25">
      <c r="A9" s="2" t="str">
        <f>"1.1.1.02.12- Banco do Brasil S/A - 720.001-3"</f>
        <v>1.1.1.02.12- Banco do Brasil S/A - 720.001-3</v>
      </c>
      <c r="B9" s="10">
        <v>107796.24</v>
      </c>
      <c r="C9" s="10">
        <v>62104.02</v>
      </c>
      <c r="D9" s="10">
        <v>169900.26</v>
      </c>
    </row>
    <row r="10" spans="1:5" x14ac:dyDescent="0.25">
      <c r="A10" s="2" t="str">
        <f>"1.1.1.02.13- Banco do Brasil S/A - 720.003-X"</f>
        <v>1.1.1.02.13- Banco do Brasil S/A - 720.003-X</v>
      </c>
      <c r="B10" s="10">
        <v>9006.3700000000008</v>
      </c>
      <c r="C10" s="10">
        <v>-9006.3700000000008</v>
      </c>
      <c r="D10" s="10">
        <v>0</v>
      </c>
    </row>
    <row r="11" spans="1:5" x14ac:dyDescent="0.25">
      <c r="A11" s="2" t="str">
        <f>"1.1.1.02.14- Banco do Brasil S/A - 720.011-0"</f>
        <v>1.1.1.02.14- Banco do Brasil S/A - 720.011-0</v>
      </c>
      <c r="B11" s="10">
        <v>50143.31</v>
      </c>
      <c r="C11" s="10">
        <v>-50143.31</v>
      </c>
      <c r="D11" s="10">
        <v>0</v>
      </c>
    </row>
    <row r="12" spans="1:5" x14ac:dyDescent="0.25">
      <c r="A12" s="2" t="str">
        <f>"1.1.1.02.15- Banco do Brasil S/A - 7.218-4"</f>
        <v>1.1.1.02.15- Banco do Brasil S/A - 7.218-4</v>
      </c>
      <c r="B12" s="10">
        <v>52347.82</v>
      </c>
      <c r="C12" s="10">
        <v>-33188.629999999997</v>
      </c>
      <c r="D12" s="10">
        <v>19159.189999999999</v>
      </c>
    </row>
    <row r="13" spans="1:5" x14ac:dyDescent="0.25">
      <c r="A13" s="2" t="str">
        <f>"1.1.1.02.16- Banco do Brasil S/A-8117-5-CAUCAO"</f>
        <v>1.1.1.02.16- Banco do Brasil S/A-8117-5-CAUCAO</v>
      </c>
      <c r="B13" s="10">
        <v>33830.019999999997</v>
      </c>
      <c r="C13" s="10">
        <v>-33830.019999999997</v>
      </c>
      <c r="D13" s="10">
        <v>0</v>
      </c>
    </row>
    <row r="14" spans="1:5" x14ac:dyDescent="0.25">
      <c r="A14" s="2" t="str">
        <f>"1.1.1.02.19- Caixa Econ. Federal-C/C 1223-6"</f>
        <v>1.1.1.02.19- Caixa Econ. Federal-C/C 1223-6</v>
      </c>
      <c r="B14" s="10">
        <v>27847.48</v>
      </c>
      <c r="C14" s="10">
        <v>-12604.27</v>
      </c>
      <c r="D14" s="10">
        <v>15243.21</v>
      </c>
    </row>
    <row r="15" spans="1:5" x14ac:dyDescent="0.25">
      <c r="A15" s="2" t="str">
        <f>"1.1.1.02.20- Banco do Brasil S/A-9420-x Rot internet"</f>
        <v>1.1.1.02.20- Banco do Brasil S/A-9420-x Rot internet</v>
      </c>
      <c r="B15" s="10">
        <v>2641.6</v>
      </c>
      <c r="C15" s="10">
        <v>-2641.6</v>
      </c>
      <c r="D15" s="10">
        <v>0</v>
      </c>
    </row>
    <row r="16" spans="1:5" x14ac:dyDescent="0.25">
      <c r="A16" s="2" t="str">
        <f>"1.1.1.02.25- Banco do Brasil S/A 21.212-1 Leilão 2015"</f>
        <v>1.1.1.02.25- Banco do Brasil S/A 21.212-1 Leilão 2015</v>
      </c>
      <c r="B16" s="10">
        <v>50</v>
      </c>
      <c r="C16" s="10">
        <v>-50</v>
      </c>
      <c r="D16" s="10">
        <v>0</v>
      </c>
    </row>
    <row r="17" spans="1:4" x14ac:dyDescent="0.25">
      <c r="A17" s="2" t="str">
        <f>"1.1.1.02.29- Caixa Econômica Federal - 3289-3 Arrecad"</f>
        <v>1.1.1.02.29- Caixa Econômica Federal - 3289-3 Arrecad</v>
      </c>
      <c r="B17" s="10">
        <v>0</v>
      </c>
      <c r="C17" s="10">
        <v>20039.97</v>
      </c>
      <c r="D17" s="10">
        <v>20039.97</v>
      </c>
    </row>
    <row r="18" spans="1:4" x14ac:dyDescent="0.25">
      <c r="A18" s="2" t="str">
        <f>"1.1.1.02.30- Caixa Econômica Federal - 3291-5 Movimen"</f>
        <v>1.1.1.02.30- Caixa Econômica Federal - 3291-5 Movimen</v>
      </c>
      <c r="B18" s="10">
        <v>0</v>
      </c>
      <c r="C18" s="10">
        <v>4960.42</v>
      </c>
      <c r="D18" s="10">
        <v>4960.42</v>
      </c>
    </row>
    <row r="19" spans="1:4" x14ac:dyDescent="0.25">
      <c r="A19" s="2" t="str">
        <f>"1.1.1.02.31- Caixa Economica Federal - 3293-1 ROT"</f>
        <v>1.1.1.02.31- Caixa Economica Federal - 3293-1 ROT</v>
      </c>
      <c r="B19" s="10">
        <v>0</v>
      </c>
      <c r="C19" s="10">
        <v>372581.87</v>
      </c>
      <c r="D19" s="10">
        <v>372581.87</v>
      </c>
    </row>
    <row r="20" spans="1:4" x14ac:dyDescent="0.25">
      <c r="A20" s="2" t="str">
        <f>"1.1.1.02.32- Caixa Econômica Federal - 3292-3 Leilão"</f>
        <v>1.1.1.02.32- Caixa Econômica Federal - 3292-3 Leilão</v>
      </c>
      <c r="B20" s="10">
        <v>0</v>
      </c>
      <c r="C20" s="10">
        <v>25.69</v>
      </c>
      <c r="D20" s="10">
        <v>25.69</v>
      </c>
    </row>
    <row r="21" spans="1:4" x14ac:dyDescent="0.25">
      <c r="A21" s="2" t="str">
        <f>"1.1.1.02.39- Caixa Econômica Federal - 3301-6 Mídia"</f>
        <v>1.1.1.02.39- Caixa Econômica Federal - 3301-6 Mídia</v>
      </c>
      <c r="B21" s="10">
        <v>0</v>
      </c>
      <c r="C21" s="10">
        <v>13132.1</v>
      </c>
      <c r="D21" s="10">
        <v>13132.1</v>
      </c>
    </row>
    <row r="22" spans="1:4" x14ac:dyDescent="0.25">
      <c r="A22" s="2" t="str">
        <f>"1.1.1.02.40- Caixa Econômica Federal - 3302-4 Mídia"</f>
        <v>1.1.1.02.40- Caixa Econômica Federal - 3302-4 Mídia</v>
      </c>
      <c r="B22" s="10">
        <v>0</v>
      </c>
      <c r="C22" s="10">
        <v>105112.18</v>
      </c>
      <c r="D22" s="10">
        <v>105112.18</v>
      </c>
    </row>
    <row r="23" spans="1:4" x14ac:dyDescent="0.25">
      <c r="A23" s="2" t="str">
        <f>"1.1.1.02.41- Caixa Econômica Federal - 3303-2Rotativo"</f>
        <v>1.1.1.02.41- Caixa Econômica Federal - 3303-2Rotativo</v>
      </c>
      <c r="B23" s="10">
        <v>0</v>
      </c>
      <c r="C23" s="10">
        <v>294642.8</v>
      </c>
      <c r="D23" s="10">
        <v>294642.8</v>
      </c>
    </row>
    <row r="24" spans="1:4" x14ac:dyDescent="0.25">
      <c r="A24" s="2" t="str">
        <f>"1.1.1.02.42- Caixa Econômica Federal - 3304-0Caução"</f>
        <v>1.1.1.02.42- Caixa Econômica Federal - 3304-0Caução</v>
      </c>
      <c r="B24" s="10">
        <v>0</v>
      </c>
      <c r="C24" s="10">
        <v>18174.419999999998</v>
      </c>
      <c r="D24" s="10">
        <v>18174.419999999998</v>
      </c>
    </row>
    <row r="25" spans="1:4" x14ac:dyDescent="0.25">
      <c r="A25" s="2" t="str">
        <f>"1.1.1.03.00- APLICACOES FINANCEIRAS"</f>
        <v>1.1.1.03.00- APLICACOES FINANCEIRAS</v>
      </c>
      <c r="B25" s="10">
        <v>1168759.19</v>
      </c>
      <c r="C25" s="10">
        <v>869827.57</v>
      </c>
      <c r="D25" s="10">
        <v>2038586.76</v>
      </c>
    </row>
    <row r="26" spans="1:4" x14ac:dyDescent="0.25">
      <c r="A26" s="2" t="str">
        <f>"1.1.1.03.06- Banco do Brasil S/A-720000-5 APL"</f>
        <v>1.1.1.03.06- Banco do Brasil S/A-720000-5 APL</v>
      </c>
      <c r="B26" s="10">
        <v>232030.67</v>
      </c>
      <c r="C26" s="10">
        <v>-231005.28</v>
      </c>
      <c r="D26" s="10">
        <v>1025.3900000000001</v>
      </c>
    </row>
    <row r="27" spans="1:4" x14ac:dyDescent="0.25">
      <c r="A27" s="2" t="str">
        <f>"1.1.1.03.07- Banco do Brasil S/A-720003-x CDB"</f>
        <v>1.1.1.03.07- Banco do Brasil S/A-720003-x CDB</v>
      </c>
      <c r="B27" s="10">
        <v>63879.07</v>
      </c>
      <c r="C27" s="10">
        <v>-63879.07</v>
      </c>
      <c r="D27" s="10">
        <v>0</v>
      </c>
    </row>
    <row r="28" spans="1:4" x14ac:dyDescent="0.25">
      <c r="A28" s="2" t="str">
        <f>"1.1.1.03.08- Banco do Brasil S/A-720001-3 CDB"</f>
        <v>1.1.1.03.08- Banco do Brasil S/A-720001-3 CDB</v>
      </c>
      <c r="B28" s="10">
        <v>34999.1</v>
      </c>
      <c r="C28" s="10">
        <v>-34999.1</v>
      </c>
      <c r="D28" s="10">
        <v>0</v>
      </c>
    </row>
    <row r="29" spans="1:4" x14ac:dyDescent="0.25">
      <c r="A29" s="2" t="str">
        <f>"1.1.1.03.09- Banco do Brasil S/A -8117-5 CDB"</f>
        <v>1.1.1.03.09- Banco do Brasil S/A -8117-5 CDB</v>
      </c>
      <c r="B29" s="10">
        <v>342277.46</v>
      </c>
      <c r="C29" s="10">
        <v>-342277.46</v>
      </c>
      <c r="D29" s="10">
        <v>0</v>
      </c>
    </row>
    <row r="30" spans="1:4" x14ac:dyDescent="0.25">
      <c r="A30" s="2" t="str">
        <f>"1.1.1.03.10- Banco do Brasil S/A- 8118-3  CDB"</f>
        <v>1.1.1.03.10- Banco do Brasil S/A- 8118-3  CDB</v>
      </c>
      <c r="B30" s="10">
        <v>4409.09</v>
      </c>
      <c r="C30" s="10">
        <v>-4409.09</v>
      </c>
      <c r="D30" s="10">
        <v>0</v>
      </c>
    </row>
    <row r="31" spans="1:4" x14ac:dyDescent="0.25">
      <c r="A31" s="2" t="str">
        <f>"1.1.1.03.11- Banco do Brasil S/A - 8837-4 APL"</f>
        <v>1.1.1.03.11- Banco do Brasil S/A - 8837-4 APL</v>
      </c>
      <c r="B31" s="10">
        <v>2018.39</v>
      </c>
      <c r="C31" s="10">
        <v>-2018.39</v>
      </c>
      <c r="D31" s="10">
        <v>0</v>
      </c>
    </row>
    <row r="32" spans="1:4" x14ac:dyDescent="0.25">
      <c r="A32" s="2" t="str">
        <f>"1.1.1.03.12- Banco do Brasil S/A - 10137"</f>
        <v>1.1.1.03.12- Banco do Brasil S/A - 10137</v>
      </c>
      <c r="B32" s="10">
        <v>67360.33</v>
      </c>
      <c r="C32" s="10">
        <v>-67360.33</v>
      </c>
      <c r="D32" s="10">
        <v>0</v>
      </c>
    </row>
    <row r="33" spans="1:4" x14ac:dyDescent="0.25">
      <c r="A33" s="2" t="str">
        <f>"1.1.1.03.15- Banco do Brasil S/A - Leilões 2013 2SM"</f>
        <v>1.1.1.03.15- Banco do Brasil S/A - Leilões 2013 2SM</v>
      </c>
      <c r="B33" s="10">
        <v>186819.06</v>
      </c>
      <c r="C33" s="10">
        <v>-186819.06</v>
      </c>
      <c r="D33" s="10">
        <v>0</v>
      </c>
    </row>
    <row r="34" spans="1:4" x14ac:dyDescent="0.25">
      <c r="A34" s="2" t="str">
        <f>"1.1.1.03.17- Banco do Brasil S/A 21.212-1 Leilão 2015"</f>
        <v>1.1.1.03.17- Banco do Brasil S/A 21.212-1 Leilão 2015</v>
      </c>
      <c r="B34" s="10">
        <v>92340.6</v>
      </c>
      <c r="C34" s="10">
        <v>-92340.6</v>
      </c>
      <c r="D34" s="10">
        <v>0</v>
      </c>
    </row>
    <row r="35" spans="1:4" x14ac:dyDescent="0.25">
      <c r="A35" s="2" t="str">
        <f>"1.1.1.03.18- Banco do Brasil S/A 21.381-0 Leilao 2016"</f>
        <v>1.1.1.03.18- Banco do Brasil S/A 21.381-0 Leilao 2016</v>
      </c>
      <c r="B35" s="10">
        <v>115784.52</v>
      </c>
      <c r="C35" s="10">
        <v>-115784.52</v>
      </c>
      <c r="D35" s="10">
        <v>0</v>
      </c>
    </row>
    <row r="36" spans="1:4" x14ac:dyDescent="0.25">
      <c r="A36" s="2" t="str">
        <f>"1.1.1.03.19- Banco do Brasil S/A 21.529-5 Leilao 2016"</f>
        <v>1.1.1.03.19- Banco do Brasil S/A 21.529-5 Leilao 2016</v>
      </c>
      <c r="B36" s="10">
        <v>26840.9</v>
      </c>
      <c r="C36" s="10">
        <v>-26840.9</v>
      </c>
      <c r="D36" s="10">
        <v>0</v>
      </c>
    </row>
    <row r="37" spans="1:4" x14ac:dyDescent="0.25">
      <c r="A37" s="2" t="str">
        <f>"1.1.1.03.23- Caixa Econômica Federal - 3291-5"</f>
        <v>1.1.1.03.23- Caixa Econômica Federal - 3291-5</v>
      </c>
      <c r="B37" s="10">
        <v>0</v>
      </c>
      <c r="C37" s="10">
        <v>916682.59</v>
      </c>
      <c r="D37" s="10">
        <v>916682.59</v>
      </c>
    </row>
    <row r="38" spans="1:4" x14ac:dyDescent="0.25">
      <c r="A38" s="2" t="str">
        <f>"1.1.1.03.25- Caixa Econômica Federal - 3292-3 Leilão"</f>
        <v>1.1.1.03.25- Caixa Econômica Federal - 3292-3 Leilão</v>
      </c>
      <c r="B38" s="10">
        <v>0</v>
      </c>
      <c r="C38" s="10">
        <v>67427.64</v>
      </c>
      <c r="D38" s="10">
        <v>67427.64</v>
      </c>
    </row>
    <row r="39" spans="1:4" x14ac:dyDescent="0.25">
      <c r="A39" s="2" t="str">
        <f>"1.1.1.03.26- Caixa Econômica Federal - 3295-8Leilão13"</f>
        <v>1.1.1.03.26- Caixa Econômica Federal - 3295-8Leilão13</v>
      </c>
      <c r="B39" s="10">
        <v>0</v>
      </c>
      <c r="C39" s="10">
        <v>187333.5</v>
      </c>
      <c r="D39" s="10">
        <v>187333.5</v>
      </c>
    </row>
    <row r="40" spans="1:4" x14ac:dyDescent="0.25">
      <c r="A40" s="2" t="str">
        <f>"1.1.1.03.29- Caixa Econômica Federal - 3298-2Leilão15"</f>
        <v>1.1.1.03.29- Caixa Econômica Federal - 3298-2Leilão15</v>
      </c>
      <c r="B40" s="10">
        <v>0</v>
      </c>
      <c r="C40" s="10">
        <v>93043.38</v>
      </c>
      <c r="D40" s="10">
        <v>93043.38</v>
      </c>
    </row>
    <row r="41" spans="1:4" x14ac:dyDescent="0.25">
      <c r="A41" s="2" t="str">
        <f>"1.1.1.03.30- Caixa Econômica Federal - 3299-0Leilão16"</f>
        <v>1.1.1.03.30- Caixa Econômica Federal - 3299-0Leilão16</v>
      </c>
      <c r="B41" s="10">
        <v>0</v>
      </c>
      <c r="C41" s="10">
        <v>116202.42</v>
      </c>
      <c r="D41" s="10">
        <v>116202.42</v>
      </c>
    </row>
    <row r="42" spans="1:4" x14ac:dyDescent="0.25">
      <c r="A42" s="2" t="str">
        <f>"1.1.1.03.31- Caixa Econômica Federal - 3300-8Leilão16"</f>
        <v>1.1.1.03.31- Caixa Econômica Federal - 3300-8Leilão16</v>
      </c>
      <c r="B42" s="10">
        <v>0</v>
      </c>
      <c r="C42" s="10">
        <v>26889.919999999998</v>
      </c>
      <c r="D42" s="10">
        <v>26889.919999999998</v>
      </c>
    </row>
    <row r="43" spans="1:4" x14ac:dyDescent="0.25">
      <c r="A43" s="2" t="str">
        <f>"1.1.1.03.32- Caixa Econômica - 3301-6 Mídia"</f>
        <v>1.1.1.03.32- Caixa Econômica - 3301-6 Mídia</v>
      </c>
      <c r="B43" s="10">
        <v>0</v>
      </c>
      <c r="C43" s="10">
        <v>64274.07</v>
      </c>
      <c r="D43" s="10">
        <v>64274.07</v>
      </c>
    </row>
    <row r="44" spans="1:4" x14ac:dyDescent="0.25">
      <c r="A44" s="2" t="str">
        <f>"1.1.1.03.35- Caixa Econômica - 3304-0Caução"</f>
        <v>1.1.1.03.35- Caixa Econômica - 3304-0Caução</v>
      </c>
      <c r="B44" s="10">
        <v>0</v>
      </c>
      <c r="C44" s="10">
        <v>377271.93</v>
      </c>
      <c r="D44" s="10">
        <v>377271.93</v>
      </c>
    </row>
    <row r="45" spans="1:4" x14ac:dyDescent="0.25">
      <c r="A45" s="2" t="str">
        <f>"1.1.1.03.36- Caixa Econômica - 3305-9Sucumb."</f>
        <v>1.1.1.03.36- Caixa Econômica - 3305-9Sucumb.</v>
      </c>
      <c r="B45" s="10">
        <v>0</v>
      </c>
      <c r="C45" s="10">
        <v>4339.29</v>
      </c>
      <c r="D45" s="10">
        <v>4339.29</v>
      </c>
    </row>
    <row r="46" spans="1:4" x14ac:dyDescent="0.25">
      <c r="A46" s="2" t="str">
        <f>"1.1.1.03.38- Caixa Econômica - 3308-3Leilão"</f>
        <v>1.1.1.03.38- Caixa Econômica - 3308-3Leilão</v>
      </c>
      <c r="B46" s="10">
        <v>0</v>
      </c>
      <c r="C46" s="10">
        <v>2011.2</v>
      </c>
      <c r="D46" s="10">
        <v>2011.2</v>
      </c>
    </row>
    <row r="47" spans="1:4" x14ac:dyDescent="0.25">
      <c r="A47" s="2" t="str">
        <f>"1.1.1.03.41- Caixa Econômica - 531-0 Aci moto poupanç"</f>
        <v>1.1.1.03.41- Caixa Econômica - 531-0 Aci moto poupanç</v>
      </c>
      <c r="B47" s="10">
        <v>0</v>
      </c>
      <c r="C47" s="10">
        <v>64205.13</v>
      </c>
      <c r="D47" s="10">
        <v>64205.13</v>
      </c>
    </row>
    <row r="48" spans="1:4" x14ac:dyDescent="0.25">
      <c r="A48" s="2" t="str">
        <f>"1.1.1.03.42- Caixa Econômica - 532-9 Acid Ped Poupanç"</f>
        <v>1.1.1.03.42- Caixa Econômica - 532-9 Acid Ped Poupanç</v>
      </c>
      <c r="B48" s="10">
        <v>0</v>
      </c>
      <c r="C48" s="10">
        <v>33217.160000000003</v>
      </c>
      <c r="D48" s="10">
        <v>33217.160000000003</v>
      </c>
    </row>
    <row r="49" spans="1:4" x14ac:dyDescent="0.25">
      <c r="A49" s="2" t="str">
        <f>"1.1.1.03.43- Caixa Econômica - 534-5 Codemig Poupança"</f>
        <v>1.1.1.03.43- Caixa Econômica - 534-5 Codemig Poupança</v>
      </c>
      <c r="B49" s="10">
        <v>0</v>
      </c>
      <c r="C49" s="10">
        <v>24469.84</v>
      </c>
      <c r="D49" s="10">
        <v>24469.84</v>
      </c>
    </row>
    <row r="50" spans="1:4" x14ac:dyDescent="0.25">
      <c r="A50" s="2" t="str">
        <f>"1.1.1.03.44- Caixa Econômica - 535-3 Turblog Poupança"</f>
        <v>1.1.1.03.44- Caixa Econômica - 535-3 Turblog Poupança</v>
      </c>
      <c r="B50" s="10">
        <v>0</v>
      </c>
      <c r="C50" s="10">
        <v>60193.3</v>
      </c>
      <c r="D50" s="10">
        <v>60193.3</v>
      </c>
    </row>
    <row r="51" spans="1:4" x14ac:dyDescent="0.25">
      <c r="A51" s="2" t="str">
        <f>"1.1.1.04.00- BANCOS C/VINCULADA-PAMEH"</f>
        <v>1.1.1.04.00- BANCOS C/VINCULADA-PAMEH</v>
      </c>
      <c r="B51" s="10">
        <v>3783924.02</v>
      </c>
      <c r="C51" s="10">
        <v>-46507.91</v>
      </c>
      <c r="D51" s="10">
        <v>3737416.11</v>
      </c>
    </row>
    <row r="52" spans="1:4" x14ac:dyDescent="0.25">
      <c r="A52" s="2" t="str">
        <f>"1.1.1.04.03- Banco do Brasil - 7.217-6 - CDB"</f>
        <v>1.1.1.04.03- Banco do Brasil - 7.217-6 - CDB</v>
      </c>
      <c r="B52" s="10">
        <v>2878867.46</v>
      </c>
      <c r="C52" s="10">
        <v>-2878867.46</v>
      </c>
      <c r="D52" s="10">
        <v>0</v>
      </c>
    </row>
    <row r="53" spans="1:4" x14ac:dyDescent="0.25">
      <c r="A53" s="2" t="str">
        <f>"1.1.1.04.04- Mercantil do Brasil 02733249-2"</f>
        <v>1.1.1.04.04- Mercantil do Brasil 02733249-2</v>
      </c>
      <c r="B53" s="10">
        <v>207.81</v>
      </c>
      <c r="C53" s="10">
        <v>0</v>
      </c>
      <c r="D53" s="10">
        <v>207.81</v>
      </c>
    </row>
    <row r="54" spans="1:4" x14ac:dyDescent="0.25">
      <c r="A54" s="2" t="str">
        <f>"1.1.1.04.07- Caixa Econômica Federal - 3294-0"</f>
        <v>1.1.1.04.07- Caixa Econômica Federal - 3294-0</v>
      </c>
      <c r="B54" s="10">
        <v>0</v>
      </c>
      <c r="C54" s="10">
        <v>-515.4</v>
      </c>
      <c r="D54" s="10">
        <v>-515.4</v>
      </c>
    </row>
    <row r="55" spans="1:4" x14ac:dyDescent="0.25">
      <c r="A55" s="2" t="str">
        <f>"1.1.1.04.08- Caixa Econômica Federal - 3294-0 Aplic."</f>
        <v>1.1.1.04.08- Caixa Econômica Federal - 3294-0 Aplic.</v>
      </c>
      <c r="B55" s="10">
        <v>904848.75</v>
      </c>
      <c r="C55" s="10">
        <v>2832874.95</v>
      </c>
      <c r="D55" s="10">
        <v>3737723.7</v>
      </c>
    </row>
    <row r="56" spans="1:4" x14ac:dyDescent="0.25">
      <c r="A56" s="2" t="str">
        <f>"1.1.1.05.00- BANCOS C/VINCULAD-CONVENIO"</f>
        <v>1.1.1.05.00- BANCOS C/VINCULAD-CONVENIO</v>
      </c>
      <c r="B56" s="10">
        <v>182284.21</v>
      </c>
      <c r="C56" s="10">
        <v>-182284.21</v>
      </c>
      <c r="D56" s="10">
        <v>0</v>
      </c>
    </row>
    <row r="57" spans="1:4" x14ac:dyDescent="0.25">
      <c r="A57" s="2" t="str">
        <f>"1.1.1.05.08- Aplicacoes - B. Brasil - 8346-1"</f>
        <v>1.1.1.05.08- Aplicacoes - B. Brasil - 8346-1</v>
      </c>
      <c r="B57" s="10">
        <v>60281.65</v>
      </c>
      <c r="C57" s="10">
        <v>-60281.65</v>
      </c>
      <c r="D57" s="10">
        <v>0</v>
      </c>
    </row>
    <row r="58" spans="1:4" x14ac:dyDescent="0.25">
      <c r="A58" s="2" t="str">
        <f>"1.1.1.05.12- Aplicacoes - B. Brasil - 8551-0"</f>
        <v>1.1.1.05.12- Aplicacoes - B. Brasil - 8551-0</v>
      </c>
      <c r="B58" s="10">
        <v>24515.97</v>
      </c>
      <c r="C58" s="10">
        <v>-24515.97</v>
      </c>
      <c r="D58" s="10">
        <v>0</v>
      </c>
    </row>
    <row r="59" spans="1:4" x14ac:dyDescent="0.25">
      <c r="A59" s="2" t="str">
        <f>"1.1.1.05.22- SMSA Redução de acidente moto 18.130-7 A"</f>
        <v>1.1.1.05.22- SMSA Redução de acidente moto 18.130-7 A</v>
      </c>
      <c r="B59" s="10">
        <v>64213.73</v>
      </c>
      <c r="C59" s="10">
        <v>-64213.73</v>
      </c>
      <c r="D59" s="10">
        <v>0</v>
      </c>
    </row>
    <row r="60" spans="1:4" x14ac:dyDescent="0.25">
      <c r="A60" s="2" t="str">
        <f>"1.1.1.05.24- SMSA Red acid pedestre 18.181-7APL"</f>
        <v>1.1.1.05.24- SMSA Red acid pedestre 18.181-7APL</v>
      </c>
      <c r="B60" s="10">
        <v>33272.86</v>
      </c>
      <c r="C60" s="10">
        <v>-33272.86</v>
      </c>
      <c r="D60" s="10">
        <v>0</v>
      </c>
    </row>
    <row r="61" spans="1:4" x14ac:dyDescent="0.25">
      <c r="A61" s="2" t="str">
        <f>"1.1.2.00.00- REALIZAVEL A CURTO PRAZO"</f>
        <v>1.1.2.00.00- REALIZAVEL A CURTO PRAZO</v>
      </c>
      <c r="B61" s="10">
        <v>11685754.76</v>
      </c>
      <c r="C61" s="10">
        <v>97882.36</v>
      </c>
      <c r="D61" s="10">
        <v>11783637.119999999</v>
      </c>
    </row>
    <row r="62" spans="1:4" x14ac:dyDescent="0.25">
      <c r="A62" s="2" t="str">
        <f>"1.1.2.01.00- CONTAS A RECEBER"</f>
        <v>1.1.2.01.00- CONTAS A RECEBER</v>
      </c>
      <c r="B62" s="10">
        <v>6237323.9699999997</v>
      </c>
      <c r="C62" s="10">
        <v>478687.64</v>
      </c>
      <c r="D62" s="10">
        <v>6716011.6100000003</v>
      </c>
    </row>
    <row r="63" spans="1:4" x14ac:dyDescent="0.25">
      <c r="A63" s="2" t="str">
        <f>"1.1.2.01.89- Multas Transporte Coletivo"</f>
        <v>1.1.2.01.89- Multas Transporte Coletivo</v>
      </c>
      <c r="B63" s="10">
        <v>7418813.54</v>
      </c>
      <c r="C63" s="10">
        <v>531875.16</v>
      </c>
      <c r="D63" s="10">
        <v>7950688.7000000002</v>
      </c>
    </row>
    <row r="64" spans="1:4" x14ac:dyDescent="0.25">
      <c r="A64" s="2" t="str">
        <f>"1.1.2.01.94- Midia Onibus a Receber"</f>
        <v>1.1.2.01.94- Midia Onibus a Receber</v>
      </c>
      <c r="B64" s="10">
        <v>786491.64</v>
      </c>
      <c r="C64" s="10">
        <v>0</v>
      </c>
      <c r="D64" s="10">
        <v>786491.64</v>
      </c>
    </row>
    <row r="65" spans="1:4" x14ac:dyDescent="0.25">
      <c r="A65" s="2" t="str">
        <f>"1.1.2.01.99- (-) Provisao para Perdas"</f>
        <v>1.1.2.01.99- (-) Provisao para Perdas</v>
      </c>
      <c r="B65" s="10">
        <v>-1967981.21</v>
      </c>
      <c r="C65" s="10">
        <v>-53187.519999999997</v>
      </c>
      <c r="D65" s="10">
        <v>-2021168.73</v>
      </c>
    </row>
    <row r="66" spans="1:4" x14ac:dyDescent="0.25">
      <c r="A66" s="2" t="str">
        <f>"1.1.2.06.00- ADIANTAMENTO A EMPREGADOS"</f>
        <v>1.1.2.06.00- ADIANTAMENTO A EMPREGADOS</v>
      </c>
      <c r="B66" s="10">
        <v>1601920.83</v>
      </c>
      <c r="C66" s="10">
        <v>-397484.9</v>
      </c>
      <c r="D66" s="10">
        <v>1204435.93</v>
      </c>
    </row>
    <row r="67" spans="1:4" x14ac:dyDescent="0.25">
      <c r="A67" s="2" t="str">
        <f>"1.1.2.06.01- Adiantamento de Ferias"</f>
        <v>1.1.2.06.01- Adiantamento de Ferias</v>
      </c>
      <c r="B67" s="10">
        <v>1442495.23</v>
      </c>
      <c r="C67" s="10">
        <v>-783403.64</v>
      </c>
      <c r="D67" s="10">
        <v>659091.59</v>
      </c>
    </row>
    <row r="68" spans="1:4" x14ac:dyDescent="0.25">
      <c r="A68" s="2" t="str">
        <f>"1.1.2.06.02- Adiantamento de 13. Salario"</f>
        <v>1.1.2.06.02- Adiantamento de 13. Salario</v>
      </c>
      <c r="B68" s="10">
        <v>0</v>
      </c>
      <c r="C68" s="10">
        <v>337124.07</v>
      </c>
      <c r="D68" s="10">
        <v>337124.07</v>
      </c>
    </row>
    <row r="69" spans="1:4" x14ac:dyDescent="0.25">
      <c r="A69" s="2" t="str">
        <f>"1.1.2.06.03- Adiant. de Salario/Parc. Ferias"</f>
        <v>1.1.2.06.03- Adiant. de Salario/Parc. Ferias</v>
      </c>
      <c r="B69" s="10">
        <v>44799.57</v>
      </c>
      <c r="C69" s="10">
        <v>62357.919999999998</v>
      </c>
      <c r="D69" s="10">
        <v>107157.49</v>
      </c>
    </row>
    <row r="70" spans="1:4" x14ac:dyDescent="0.25">
      <c r="A70" s="2" t="str">
        <f>"1.1.2.06.07- Adiantamento Pensao s/ Ferias"</f>
        <v>1.1.2.06.07- Adiantamento Pensao s/ Ferias</v>
      </c>
      <c r="B70" s="10">
        <v>114626.03</v>
      </c>
      <c r="C70" s="10">
        <v>-13563.25</v>
      </c>
      <c r="D70" s="10">
        <v>101062.78</v>
      </c>
    </row>
    <row r="71" spans="1:4" x14ac:dyDescent="0.25">
      <c r="A71" s="2" t="str">
        <f>"1.1.2.08.00- ALMOXARIFADO"</f>
        <v>1.1.2.08.00- ALMOXARIFADO</v>
      </c>
      <c r="B71" s="10">
        <v>310270.33</v>
      </c>
      <c r="C71" s="10">
        <v>-14246.58</v>
      </c>
      <c r="D71" s="10">
        <v>296023.75</v>
      </c>
    </row>
    <row r="72" spans="1:4" x14ac:dyDescent="0.25">
      <c r="A72" s="2" t="str">
        <f>"1.1.2.08.01- Material em Estoque"</f>
        <v>1.1.2.08.01- Material em Estoque</v>
      </c>
      <c r="B72" s="10">
        <v>310270.33</v>
      </c>
      <c r="C72" s="10">
        <v>-14246.58</v>
      </c>
      <c r="D72" s="10">
        <v>296023.75</v>
      </c>
    </row>
    <row r="73" spans="1:4" x14ac:dyDescent="0.25">
      <c r="A73" s="2" t="str">
        <f>"1.1.2.10.00- IMPOSTOS E CONTRIB.A RECUPERAR"</f>
        <v>1.1.2.10.00- IMPOSTOS E CONTRIB.A RECUPERAR</v>
      </c>
      <c r="B73" s="10">
        <v>1824279.49</v>
      </c>
      <c r="C73" s="10">
        <v>2204.34</v>
      </c>
      <c r="D73" s="10">
        <v>1826483.83</v>
      </c>
    </row>
    <row r="74" spans="1:4" x14ac:dyDescent="0.25">
      <c r="A74" s="2" t="str">
        <f>"1.1.2.10.01- IR s/Aplicacao Financeira"</f>
        <v>1.1.2.10.01- IR s/Aplicacao Financeira</v>
      </c>
      <c r="B74" s="10">
        <v>392900.53</v>
      </c>
      <c r="C74" s="10">
        <v>2088.13</v>
      </c>
      <c r="D74" s="10">
        <v>394988.66</v>
      </c>
    </row>
    <row r="75" spans="1:4" x14ac:dyDescent="0.25">
      <c r="A75" s="2" t="str">
        <f>"1.1.2.10.08- IRRF a Compensar"</f>
        <v>1.1.2.10.08- IRRF a Compensar</v>
      </c>
      <c r="B75" s="10">
        <v>1454.99</v>
      </c>
      <c r="C75" s="10">
        <v>0</v>
      </c>
      <c r="D75" s="10">
        <v>1454.99</v>
      </c>
    </row>
    <row r="76" spans="1:4" x14ac:dyDescent="0.25">
      <c r="A76" s="2" t="str">
        <f>"1.1.2.10.10- INSS a Recuperar"</f>
        <v>1.1.2.10.10- INSS a Recuperar</v>
      </c>
      <c r="B76" s="10">
        <v>51768.62</v>
      </c>
      <c r="C76" s="10">
        <v>0</v>
      </c>
      <c r="D76" s="10">
        <v>51768.62</v>
      </c>
    </row>
    <row r="77" spans="1:4" x14ac:dyDescent="0.25">
      <c r="A77" s="2" t="str">
        <f>"1.1.2.10.15- Cofins a Compensar"</f>
        <v>1.1.2.10.15- Cofins a Compensar</v>
      </c>
      <c r="B77" s="10">
        <v>1039250.98</v>
      </c>
      <c r="C77" s="10">
        <v>0.01</v>
      </c>
      <c r="D77" s="10">
        <v>1039250.99</v>
      </c>
    </row>
    <row r="78" spans="1:4" x14ac:dyDescent="0.25">
      <c r="A78" s="2" t="str">
        <f>"1.1.2.10.16- PIS a Compensar"</f>
        <v>1.1.2.10.16- PIS a Compensar</v>
      </c>
      <c r="B78" s="10">
        <v>224393.87</v>
      </c>
      <c r="C78" s="10">
        <v>0.01</v>
      </c>
      <c r="D78" s="10">
        <v>224393.88</v>
      </c>
    </row>
    <row r="79" spans="1:4" x14ac:dyDescent="0.25">
      <c r="A79" s="2" t="str">
        <f>"1.1.2.10.20- V.M.A PIS a Recuperar"</f>
        <v>1.1.2.10.20- V.M.A PIS a Recuperar</v>
      </c>
      <c r="B79" s="10">
        <v>822.49</v>
      </c>
      <c r="C79" s="10">
        <v>63.63</v>
      </c>
      <c r="D79" s="10">
        <v>886.12</v>
      </c>
    </row>
    <row r="80" spans="1:4" x14ac:dyDescent="0.25">
      <c r="A80" s="2" t="str">
        <f>"1.1.2.10.21- V.M.A IRRF a Compensar"</f>
        <v>1.1.2.10.21- V.M.A IRRF a Compensar</v>
      </c>
      <c r="B80" s="10">
        <v>340.93</v>
      </c>
      <c r="C80" s="10">
        <v>15.84</v>
      </c>
      <c r="D80" s="10">
        <v>356.77</v>
      </c>
    </row>
    <row r="81" spans="1:4" x14ac:dyDescent="0.25">
      <c r="A81" s="2" t="str">
        <f>"1.1.2.10.22- V.M.A COFINS a Compensar"</f>
        <v>1.1.2.10.22- V.M.A COFINS a Compensar</v>
      </c>
      <c r="B81" s="10">
        <v>5083.3100000000004</v>
      </c>
      <c r="C81" s="10">
        <v>36.72</v>
      </c>
      <c r="D81" s="10">
        <v>5120.03</v>
      </c>
    </row>
    <row r="82" spans="1:4" x14ac:dyDescent="0.25">
      <c r="A82" s="2" t="str">
        <f>"1.1.2.10.25- INSS a recuperar segurados"</f>
        <v>1.1.2.10.25- INSS a recuperar segurados</v>
      </c>
      <c r="B82" s="10">
        <v>108263.77</v>
      </c>
      <c r="C82" s="10">
        <v>0</v>
      </c>
      <c r="D82" s="10">
        <v>108263.77</v>
      </c>
    </row>
    <row r="83" spans="1:4" x14ac:dyDescent="0.25">
      <c r="A83" s="2" t="str">
        <f>"1.1.2.11.00- DESPESAS ANTECIPADAS"</f>
        <v>1.1.2.11.00- DESPESAS ANTECIPADAS</v>
      </c>
      <c r="B83" s="10">
        <v>6236.68</v>
      </c>
      <c r="C83" s="10">
        <v>-801.79</v>
      </c>
      <c r="D83" s="10">
        <v>5434.89</v>
      </c>
    </row>
    <row r="84" spans="1:4" x14ac:dyDescent="0.25">
      <c r="A84" s="2" t="str">
        <f>"1.1.2.11.01- Premios de Seguros a Vencer"</f>
        <v>1.1.2.11.01- Premios de Seguros a Vencer</v>
      </c>
      <c r="B84" s="10">
        <v>6236.68</v>
      </c>
      <c r="C84" s="10">
        <v>-801.79</v>
      </c>
      <c r="D84" s="10">
        <v>5434.89</v>
      </c>
    </row>
    <row r="85" spans="1:4" x14ac:dyDescent="0.25">
      <c r="A85" s="2" t="str">
        <f>"1.1.2.12.00- VALORES VINC.A RECEBER-PAMEH"</f>
        <v>1.1.2.12.00- VALORES VINC.A RECEBER-PAMEH</v>
      </c>
      <c r="B85" s="10">
        <v>1022152.87</v>
      </c>
      <c r="C85" s="10">
        <v>-4160.55</v>
      </c>
      <c r="D85" s="10">
        <v>1017992.32</v>
      </c>
    </row>
    <row r="86" spans="1:4" x14ac:dyDescent="0.25">
      <c r="A86" s="2" t="str">
        <f>"1.1.2.12.01- Valores Vinculados-PAMEH"</f>
        <v>1.1.2.12.01- Valores Vinculados-PAMEH</v>
      </c>
      <c r="B86" s="10">
        <v>1022152.87</v>
      </c>
      <c r="C86" s="10">
        <v>-4160.55</v>
      </c>
      <c r="D86" s="10">
        <v>1017992.32</v>
      </c>
    </row>
    <row r="87" spans="1:4" x14ac:dyDescent="0.25">
      <c r="A87" s="2" t="str">
        <f>"1.1.2.14.00- CONTAS TRANSITORIAS - GRUPO ATIVO"</f>
        <v>1.1.2.14.00- CONTAS TRANSITORIAS - GRUPO ATIVO</v>
      </c>
      <c r="B87" s="10">
        <v>648178.09</v>
      </c>
      <c r="C87" s="10">
        <v>24482.86</v>
      </c>
      <c r="D87" s="10">
        <v>672660.95</v>
      </c>
    </row>
    <row r="88" spans="1:4" x14ac:dyDescent="0.25">
      <c r="A88" s="2" t="str">
        <f>"1.1.2.14.05- Transitoria Folha de Pagamento"</f>
        <v>1.1.2.14.05- Transitoria Folha de Pagamento</v>
      </c>
      <c r="B88" s="10">
        <v>648178.09</v>
      </c>
      <c r="C88" s="10">
        <v>24482.86</v>
      </c>
      <c r="D88" s="10">
        <v>672660.95</v>
      </c>
    </row>
    <row r="89" spans="1:4" x14ac:dyDescent="0.25">
      <c r="A89" s="2" t="str">
        <f>"1.1.2.15.00- CARNE ESTACIONAMENTO ROTATIVO"</f>
        <v>1.1.2.15.00- CARNE ESTACIONAMENTO ROTATIVO</v>
      </c>
      <c r="B89" s="10">
        <v>35392.5</v>
      </c>
      <c r="C89" s="10">
        <v>9201.34</v>
      </c>
      <c r="D89" s="10">
        <v>44593.84</v>
      </c>
    </row>
    <row r="90" spans="1:4" x14ac:dyDescent="0.25">
      <c r="A90" s="2" t="str">
        <f>"1.1.2.15.01- Carne Rotativo"</f>
        <v>1.1.2.15.01- Carne Rotativo</v>
      </c>
      <c r="B90" s="10">
        <v>35392.5</v>
      </c>
      <c r="C90" s="10">
        <v>9201.34</v>
      </c>
      <c r="D90" s="10">
        <v>44593.84</v>
      </c>
    </row>
    <row r="91" spans="1:4" x14ac:dyDescent="0.25">
      <c r="A91" s="2" t="str">
        <f>"1.2.0.00.00- ATIVO NAO CIRCULANTE"</f>
        <v>1.2.0.00.00- ATIVO NAO CIRCULANTE</v>
      </c>
      <c r="B91" s="10">
        <v>9439743.9299999997</v>
      </c>
      <c r="C91" s="10">
        <v>239144.47</v>
      </c>
      <c r="D91" s="10">
        <v>9678888.4000000004</v>
      </c>
    </row>
    <row r="92" spans="1:4" x14ac:dyDescent="0.25">
      <c r="A92" s="2" t="str">
        <f>"1.2.1.00.00- REALIZAVEL A LONGO PRAZO"</f>
        <v>1.2.1.00.00- REALIZAVEL A LONGO PRAZO</v>
      </c>
      <c r="B92" s="10">
        <v>7133697.5999999996</v>
      </c>
      <c r="C92" s="10">
        <v>263352.76</v>
      </c>
      <c r="D92" s="10">
        <v>7397050.3600000003</v>
      </c>
    </row>
    <row r="93" spans="1:4" x14ac:dyDescent="0.25">
      <c r="A93" s="2" t="str">
        <f>"1.2.1.01.00- CREDITOS E VALORES A RECEBER"</f>
        <v>1.2.1.01.00- CREDITOS E VALORES A RECEBER</v>
      </c>
      <c r="B93" s="10">
        <v>7133697.5999999996</v>
      </c>
      <c r="C93" s="10">
        <v>263352.76</v>
      </c>
      <c r="D93" s="10">
        <v>7397050.3600000003</v>
      </c>
    </row>
    <row r="94" spans="1:4" x14ac:dyDescent="0.25">
      <c r="A94" s="2" t="str">
        <f>"1.2.1.01.01- Depositos Judiciais"</f>
        <v>1.2.1.01.01- Depositos Judiciais</v>
      </c>
      <c r="B94" s="10">
        <v>1311991.98</v>
      </c>
      <c r="C94" s="10">
        <v>263352.76</v>
      </c>
      <c r="D94" s="10">
        <v>1575344.74</v>
      </c>
    </row>
    <row r="95" spans="1:4" x14ac:dyDescent="0.25">
      <c r="A95" s="2" t="str">
        <f>"1.2.1.01.03- Depositos Judiciais de Terceiros"</f>
        <v>1.2.1.01.03- Depositos Judiciais de Terceiros</v>
      </c>
      <c r="B95" s="10">
        <v>344210.77</v>
      </c>
      <c r="C95" s="10">
        <v>0</v>
      </c>
      <c r="D95" s="10">
        <v>344210.77</v>
      </c>
    </row>
    <row r="96" spans="1:4" x14ac:dyDescent="0.25">
      <c r="A96" s="2" t="str">
        <f>"1.2.1.01.04- Convenio Prefeitura Betim"</f>
        <v>1.2.1.01.04- Convenio Prefeitura Betim</v>
      </c>
      <c r="B96" s="10">
        <v>21463.9</v>
      </c>
      <c r="C96" s="10">
        <v>0</v>
      </c>
      <c r="D96" s="10">
        <v>21463.9</v>
      </c>
    </row>
    <row r="97" spans="1:4" x14ac:dyDescent="0.25">
      <c r="A97" s="2" t="str">
        <f>"1.2.1.01.05- Convenio IPSEMG"</f>
        <v>1.2.1.01.05- Convenio IPSEMG</v>
      </c>
      <c r="B97" s="10">
        <v>21163.53</v>
      </c>
      <c r="C97" s="10">
        <v>0</v>
      </c>
      <c r="D97" s="10">
        <v>21163.53</v>
      </c>
    </row>
    <row r="98" spans="1:4" x14ac:dyDescent="0.25">
      <c r="A98" s="2" t="str">
        <f>"1.2.1.01.06- Multas Transporte Coletivo"</f>
        <v>1.2.1.01.06- Multas Transporte Coletivo</v>
      </c>
      <c r="B98" s="10">
        <v>5434867.4199999999</v>
      </c>
      <c r="C98" s="10">
        <v>0</v>
      </c>
      <c r="D98" s="10">
        <v>5434867.4199999999</v>
      </c>
    </row>
    <row r="99" spans="1:4" x14ac:dyDescent="0.25">
      <c r="A99" s="2" t="str">
        <f>"1.3.1.00.00- INVESTIMENTOS"</f>
        <v>1.3.1.00.00- INVESTIMENTOS</v>
      </c>
      <c r="B99" s="10">
        <v>26070</v>
      </c>
      <c r="C99" s="10">
        <v>0</v>
      </c>
      <c r="D99" s="10">
        <v>26070</v>
      </c>
    </row>
    <row r="100" spans="1:4" x14ac:dyDescent="0.25">
      <c r="A100" s="2" t="str">
        <f>"1.3.1.01.00- OUTROS INVESTIMENTOS"</f>
        <v>1.3.1.01.00- OUTROS INVESTIMENTOS</v>
      </c>
      <c r="B100" s="10">
        <v>26070</v>
      </c>
      <c r="C100" s="10">
        <v>0</v>
      </c>
      <c r="D100" s="10">
        <v>26070</v>
      </c>
    </row>
    <row r="101" spans="1:4" x14ac:dyDescent="0.25">
      <c r="A101" s="2" t="str">
        <f>"1.3.1.01.01- Obras de Arte"</f>
        <v>1.3.1.01.01- Obras de Arte</v>
      </c>
      <c r="B101" s="10">
        <v>25200</v>
      </c>
      <c r="C101" s="10">
        <v>0</v>
      </c>
      <c r="D101" s="10">
        <v>25200</v>
      </c>
    </row>
    <row r="102" spans="1:4" x14ac:dyDescent="0.25">
      <c r="A102" s="2" t="str">
        <f>"1.3.1.01.02- Participações Societárias - PBH ATIVOS"</f>
        <v>1.3.1.01.02- Participações Societárias - PBH ATIVOS</v>
      </c>
      <c r="B102" s="10">
        <v>870</v>
      </c>
      <c r="C102" s="10">
        <v>0</v>
      </c>
      <c r="D102" s="10">
        <v>870</v>
      </c>
    </row>
    <row r="103" spans="1:4" x14ac:dyDescent="0.25">
      <c r="A103" s="2" t="str">
        <f>"1.3.2.00.00- IMOBILIZADO"</f>
        <v>1.3.2.00.00- IMOBILIZADO</v>
      </c>
      <c r="B103" s="10">
        <v>6870892.1200000001</v>
      </c>
      <c r="C103" s="10">
        <v>0</v>
      </c>
      <c r="D103" s="10">
        <v>6870892.1200000001</v>
      </c>
    </row>
    <row r="104" spans="1:4" x14ac:dyDescent="0.25">
      <c r="A104" s="2" t="str">
        <f>"1.3.2.01.01- Maquinas e equipamentos"</f>
        <v>1.3.2.01.01- Maquinas e equipamentos</v>
      </c>
      <c r="B104" s="10">
        <v>240062.7</v>
      </c>
      <c r="C104" s="10">
        <v>0</v>
      </c>
      <c r="D104" s="10">
        <v>240062.7</v>
      </c>
    </row>
    <row r="105" spans="1:4" x14ac:dyDescent="0.25">
      <c r="A105" s="2" t="str">
        <f>"1.3.2.02.01- Ferramentas"</f>
        <v>1.3.2.02.01- Ferramentas</v>
      </c>
      <c r="B105" s="10">
        <v>9104.81</v>
      </c>
      <c r="C105" s="10">
        <v>0</v>
      </c>
      <c r="D105" s="10">
        <v>9104.81</v>
      </c>
    </row>
    <row r="106" spans="1:4" x14ac:dyDescent="0.25">
      <c r="A106" s="2" t="str">
        <f>"1.3.2.03.01- Equipamentos de comunicacao"</f>
        <v>1.3.2.03.01- Equipamentos de comunicacao</v>
      </c>
      <c r="B106" s="10">
        <v>191924.73</v>
      </c>
      <c r="C106" s="10">
        <v>0</v>
      </c>
      <c r="D106" s="10">
        <v>191924.73</v>
      </c>
    </row>
    <row r="107" spans="1:4" x14ac:dyDescent="0.25">
      <c r="A107" s="2" t="str">
        <f>"1.3.2.04.01- Instalacoes"</f>
        <v>1.3.2.04.01- Instalacoes</v>
      </c>
      <c r="B107" s="10">
        <v>85222.9</v>
      </c>
      <c r="C107" s="10">
        <v>0</v>
      </c>
      <c r="D107" s="10">
        <v>85222.9</v>
      </c>
    </row>
    <row r="108" spans="1:4" x14ac:dyDescent="0.25">
      <c r="A108" s="2" t="str">
        <f>"1.3.2.06.01- Moveis e utensilios"</f>
        <v>1.3.2.06.01- Moveis e utensilios</v>
      </c>
      <c r="B108" s="10">
        <v>539676.85</v>
      </c>
      <c r="C108" s="10">
        <v>0</v>
      </c>
      <c r="D108" s="10">
        <v>539676.85</v>
      </c>
    </row>
    <row r="109" spans="1:4" x14ac:dyDescent="0.25">
      <c r="A109" s="2" t="str">
        <f>"1.3.2.08.01- Instalacoes administrativas"</f>
        <v>1.3.2.08.01- Instalacoes administrativas</v>
      </c>
      <c r="B109" s="10">
        <v>99146.34</v>
      </c>
      <c r="C109" s="10">
        <v>0</v>
      </c>
      <c r="D109" s="10">
        <v>99146.34</v>
      </c>
    </row>
    <row r="110" spans="1:4" x14ac:dyDescent="0.25">
      <c r="A110" s="2" t="str">
        <f>"1.3.2.09.01- Aparelhos/equipamentos diversos"</f>
        <v>1.3.2.09.01- Aparelhos/equipamentos diversos</v>
      </c>
      <c r="B110" s="10">
        <v>603867.32999999996</v>
      </c>
      <c r="C110" s="10">
        <v>0</v>
      </c>
      <c r="D110" s="10">
        <v>603867.32999999996</v>
      </c>
    </row>
    <row r="111" spans="1:4" x14ac:dyDescent="0.25">
      <c r="A111" s="2" t="str">
        <f>"1.3.2.10.01- Equip. p/ processamento de dados"</f>
        <v>1.3.2.10.01- Equip. p/ processamento de dados</v>
      </c>
      <c r="B111" s="10">
        <v>696029.05</v>
      </c>
      <c r="C111" s="10">
        <v>0</v>
      </c>
      <c r="D111" s="10">
        <v>696029.05</v>
      </c>
    </row>
    <row r="112" spans="1:4" x14ac:dyDescent="0.25">
      <c r="A112" s="2" t="str">
        <f>"1.3.2.12.01- Micros/impressoras e acessorios"</f>
        <v>1.3.2.12.01- Micros/impressoras e acessorios</v>
      </c>
      <c r="B112" s="10">
        <v>2688473.03</v>
      </c>
      <c r="C112" s="10">
        <v>0</v>
      </c>
      <c r="D112" s="10">
        <v>2688473.03</v>
      </c>
    </row>
    <row r="113" spans="1:4" x14ac:dyDescent="0.25">
      <c r="A113" s="2" t="str">
        <f>"1.3.2.13.01- Imobilizacao em imoveis de terceiros"</f>
        <v>1.3.2.13.01- Imobilizacao em imoveis de terceiros</v>
      </c>
      <c r="B113" s="10">
        <v>1673924.44</v>
      </c>
      <c r="C113" s="10">
        <v>0</v>
      </c>
      <c r="D113" s="10">
        <v>1673924.44</v>
      </c>
    </row>
    <row r="114" spans="1:4" x14ac:dyDescent="0.25">
      <c r="A114" s="2" t="str">
        <f>"1.3.2.14.02- Estacao pampulha"</f>
        <v>1.3.2.14.02- Estacao pampulha</v>
      </c>
      <c r="B114" s="10">
        <v>43459.94</v>
      </c>
      <c r="C114" s="10">
        <v>0</v>
      </c>
      <c r="D114" s="10">
        <v>43459.94</v>
      </c>
    </row>
    <row r="115" spans="1:4" x14ac:dyDescent="0.25">
      <c r="A115" s="2" t="str">
        <f>"1.3.3.00.00- INTANGIVEL"</f>
        <v>1.3.3.00.00- INTANGIVEL</v>
      </c>
      <c r="B115" s="10">
        <v>891163.55</v>
      </c>
      <c r="C115" s="10">
        <v>0</v>
      </c>
      <c r="D115" s="10">
        <v>891163.55</v>
      </c>
    </row>
    <row r="116" spans="1:4" x14ac:dyDescent="0.25">
      <c r="A116" s="2" t="str">
        <f>"1.3.3.03.00- MARCAS E PATENTES"</f>
        <v>1.3.3.03.00- MARCAS E PATENTES</v>
      </c>
      <c r="B116" s="10">
        <v>808</v>
      </c>
      <c r="C116" s="10">
        <v>0</v>
      </c>
      <c r="D116" s="10">
        <v>808</v>
      </c>
    </row>
    <row r="117" spans="1:4" x14ac:dyDescent="0.25">
      <c r="A117" s="2" t="str">
        <f>"1.3.3.03.01- Marcas e Patentes"</f>
        <v>1.3.3.03.01- Marcas e Patentes</v>
      </c>
      <c r="B117" s="10">
        <v>808</v>
      </c>
      <c r="C117" s="10">
        <v>0</v>
      </c>
      <c r="D117" s="10">
        <v>808</v>
      </c>
    </row>
    <row r="118" spans="1:4" x14ac:dyDescent="0.25">
      <c r="A118" s="2" t="str">
        <f>"1.3.3.04.01- Programas e Sistemas"</f>
        <v>1.3.3.04.01- Programas e Sistemas</v>
      </c>
      <c r="B118" s="10">
        <v>890355.55</v>
      </c>
      <c r="C118" s="10">
        <v>0</v>
      </c>
      <c r="D118" s="10">
        <v>890355.55</v>
      </c>
    </row>
    <row r="119" spans="1:4" x14ac:dyDescent="0.25">
      <c r="A119" s="2" t="str">
        <f>"1.3.5.00.00- ( - )DEPRECIACAO E AMORTIZACAO"</f>
        <v>1.3.5.00.00- ( - )DEPRECIACAO E AMORTIZACAO</v>
      </c>
      <c r="B119" s="10">
        <v>-5482079.3399999999</v>
      </c>
      <c r="C119" s="10">
        <v>-24208.29</v>
      </c>
      <c r="D119" s="10">
        <v>-5506287.6299999999</v>
      </c>
    </row>
    <row r="120" spans="1:4" x14ac:dyDescent="0.25">
      <c r="A120" s="2" t="str">
        <f>"1.3.5.01.00- ( - ) DEPRECIACAO E AMORTIZACAO"</f>
        <v>1.3.5.01.00- ( - ) DEPRECIACAO E AMORTIZACAO</v>
      </c>
      <c r="B120" s="10">
        <v>-5482079.3399999999</v>
      </c>
      <c r="C120" s="10">
        <v>-24208.29</v>
      </c>
      <c r="D120" s="10">
        <v>-5506287.6299999999</v>
      </c>
    </row>
    <row r="121" spans="1:4" x14ac:dyDescent="0.25">
      <c r="A121" s="2" t="str">
        <f>"1.3.5.01.01- ( - ) Moveis e Utensilios"</f>
        <v>1.3.5.01.01- ( - ) Moveis e Utensilios</v>
      </c>
      <c r="B121" s="10">
        <v>-417017.24</v>
      </c>
      <c r="C121" s="10">
        <v>-2783.03</v>
      </c>
      <c r="D121" s="10">
        <v>-419800.27</v>
      </c>
    </row>
    <row r="122" spans="1:4" x14ac:dyDescent="0.25">
      <c r="A122" s="2" t="str">
        <f>"1.3.5.01.02- ( - ) Aparelhos/Equipamentos Diversos"</f>
        <v>1.3.5.01.02- ( - ) Aparelhos/Equipamentos Diversos</v>
      </c>
      <c r="B122" s="10">
        <v>-323422.53000000003</v>
      </c>
      <c r="C122" s="10">
        <v>-4090.36</v>
      </c>
      <c r="D122" s="10">
        <v>-327512.89</v>
      </c>
    </row>
    <row r="123" spans="1:4" x14ac:dyDescent="0.25">
      <c r="A123" s="2" t="str">
        <f>"1.3.5.01.03- ( - ) Instalacoes Administrativas"</f>
        <v>1.3.5.01.03- ( - ) Instalacoes Administrativas</v>
      </c>
      <c r="B123" s="10">
        <v>-97987.07</v>
      </c>
      <c r="C123" s="10">
        <v>-102.62</v>
      </c>
      <c r="D123" s="10">
        <v>-98089.69</v>
      </c>
    </row>
    <row r="124" spans="1:4" x14ac:dyDescent="0.25">
      <c r="A124" s="2" t="str">
        <f>"1.3.5.01.05- ( - ) Impressoras e Micros"</f>
        <v>1.3.5.01.05- ( - ) Impressoras e Micros</v>
      </c>
      <c r="B124" s="10">
        <v>-2562920.9500000002</v>
      </c>
      <c r="C124" s="10">
        <v>-8999.26</v>
      </c>
      <c r="D124" s="10">
        <v>-2571920.21</v>
      </c>
    </row>
    <row r="125" spans="1:4" x14ac:dyDescent="0.25">
      <c r="A125" s="2" t="str">
        <f>"1.3.5.01.06- ( - ) Maquinas e Equipamentos"</f>
        <v>1.3.5.01.06- ( - ) Maquinas e Equipamentos</v>
      </c>
      <c r="B125" s="10">
        <v>-150189.76000000001</v>
      </c>
      <c r="C125" s="10">
        <v>-1485.46</v>
      </c>
      <c r="D125" s="10">
        <v>-151675.22</v>
      </c>
    </row>
    <row r="126" spans="1:4" x14ac:dyDescent="0.25">
      <c r="A126" s="2" t="str">
        <f>"1.3.5.01.07- ( - ) Equipamentos de Comunicacao"</f>
        <v>1.3.5.01.07- ( - ) Equipamentos de Comunicacao</v>
      </c>
      <c r="B126" s="10">
        <v>-190870.55</v>
      </c>
      <c r="C126" s="10">
        <v>-78.02</v>
      </c>
      <c r="D126" s="10">
        <v>-190948.57</v>
      </c>
    </row>
    <row r="127" spans="1:4" x14ac:dyDescent="0.25">
      <c r="A127" s="2" t="str">
        <f>"1.3.5.01.08- ( - ) Instalacoes Operacionais"</f>
        <v>1.3.5.01.08- ( - ) Instalacoes Operacionais</v>
      </c>
      <c r="B127" s="10">
        <v>-62829.48</v>
      </c>
      <c r="C127" s="10">
        <v>-417.5</v>
      </c>
      <c r="D127" s="10">
        <v>-63246.98</v>
      </c>
    </row>
    <row r="128" spans="1:4" x14ac:dyDescent="0.25">
      <c r="A128" s="2" t="str">
        <f>"1.3.5.01.09- ( - ) Programas (Softwares)"</f>
        <v>1.3.5.01.09- ( - ) Programas (Softwares)</v>
      </c>
      <c r="B128" s="10">
        <v>-632072.89</v>
      </c>
      <c r="C128" s="10">
        <v>-612.5</v>
      </c>
      <c r="D128" s="10">
        <v>-632685.39</v>
      </c>
    </row>
    <row r="129" spans="1:4" x14ac:dyDescent="0.25">
      <c r="A129" s="2" t="str">
        <f>"1.3.5.01.14- ( - ) Ferramentas"</f>
        <v>1.3.5.01.14- ( - ) Ferramentas</v>
      </c>
      <c r="B129" s="10">
        <v>-6521.83</v>
      </c>
      <c r="C129" s="10">
        <v>-59.79</v>
      </c>
      <c r="D129" s="10">
        <v>-6581.62</v>
      </c>
    </row>
    <row r="130" spans="1:4" x14ac:dyDescent="0.25">
      <c r="A130" s="2" t="str">
        <f>"1.3.5.01.15- ( - ) Imobilizacoes em Imov. Terceiros"</f>
        <v>1.3.5.01.15- ( - ) Imobilizacoes em Imov. Terceiros</v>
      </c>
      <c r="B130" s="10">
        <v>-1038247.04</v>
      </c>
      <c r="C130" s="10">
        <v>-5579.75</v>
      </c>
      <c r="D130" s="10">
        <v>-1043826.79</v>
      </c>
    </row>
    <row r="131" spans="1:4" x14ac:dyDescent="0.25">
      <c r="A131" s="2" t="str">
        <f>""</f>
        <v/>
      </c>
      <c r="B131" s="3" t="str">
        <f>""</f>
        <v/>
      </c>
      <c r="C131" s="3" t="str">
        <f>""</f>
        <v/>
      </c>
      <c r="D131" s="3" t="str">
        <f>""</f>
        <v/>
      </c>
    </row>
    <row r="132" spans="1:4" x14ac:dyDescent="0.25">
      <c r="A132" s="2" t="str">
        <f>"PASSIVO"</f>
        <v>PASSIVO</v>
      </c>
      <c r="B132" s="3" t="str">
        <f>""</f>
        <v/>
      </c>
      <c r="C132" s="3" t="str">
        <f>""</f>
        <v/>
      </c>
      <c r="D132" s="3" t="str">
        <f>""</f>
        <v/>
      </c>
    </row>
    <row r="133" spans="1:4" x14ac:dyDescent="0.25">
      <c r="A133" s="2" t="str">
        <f>"2.0.0.00.00- PASSIVO"</f>
        <v>2.0.0.00.00- PASSIVO</v>
      </c>
      <c r="B133" s="10">
        <v>26544219</v>
      </c>
      <c r="C133" s="10">
        <v>2009424.61</v>
      </c>
      <c r="D133" s="10">
        <v>28553643.609999999</v>
      </c>
    </row>
    <row r="134" spans="1:4" x14ac:dyDescent="0.25">
      <c r="A134" s="2" t="str">
        <f>"2.1.0.00.00- PASSIVO CIRCULANTE"</f>
        <v>2.1.0.00.00- PASSIVO CIRCULANTE</v>
      </c>
      <c r="B134" s="10">
        <v>49631287.439999998</v>
      </c>
      <c r="C134" s="10">
        <v>2057304.54</v>
      </c>
      <c r="D134" s="10">
        <v>51688591.979999997</v>
      </c>
    </row>
    <row r="135" spans="1:4" x14ac:dyDescent="0.25">
      <c r="A135" s="2" t="str">
        <f>"2.1.1.00.00- OBRIGACOES COM PESSOAL"</f>
        <v>2.1.1.00.00- OBRIGACOES COM PESSOAL</v>
      </c>
      <c r="B135" s="10">
        <v>6873022.8399999999</v>
      </c>
      <c r="C135" s="10">
        <v>2135584.85</v>
      </c>
      <c r="D135" s="10">
        <v>9008607.6899999995</v>
      </c>
    </row>
    <row r="136" spans="1:4" x14ac:dyDescent="0.25">
      <c r="A136" s="2" t="str">
        <f>"2.1.1.01.00- SALARIOS A PAGAR"</f>
        <v>2.1.1.01.00- SALARIOS A PAGAR</v>
      </c>
      <c r="B136" s="10">
        <v>6873022.8399999999</v>
      </c>
      <c r="C136" s="10">
        <v>2135584.85</v>
      </c>
      <c r="D136" s="10">
        <v>9008607.6899999995</v>
      </c>
    </row>
    <row r="137" spans="1:4" x14ac:dyDescent="0.25">
      <c r="A137" s="2" t="str">
        <f>"2.1.1.01.01- Salarios a Pagar"</f>
        <v>2.1.1.01.01- Salarios a Pagar</v>
      </c>
      <c r="B137" s="10">
        <v>67418.789999999994</v>
      </c>
      <c r="C137" s="10">
        <v>3002330.69</v>
      </c>
      <c r="D137" s="10">
        <v>3069749.48</v>
      </c>
    </row>
    <row r="138" spans="1:4" x14ac:dyDescent="0.25">
      <c r="A138" s="2" t="str">
        <f>"2.1.1.01.02- Provisão 13º Salário"</f>
        <v>2.1.1.01.02- Provisão 13º Salário</v>
      </c>
      <c r="B138" s="10">
        <v>0</v>
      </c>
      <c r="C138" s="10">
        <v>371835.38</v>
      </c>
      <c r="D138" s="10">
        <v>371835.38</v>
      </c>
    </row>
    <row r="139" spans="1:4" x14ac:dyDescent="0.25">
      <c r="A139" s="2" t="str">
        <f>"2.1.1.01.03- Ferias a pagar"</f>
        <v>2.1.1.01.03- Ferias a pagar</v>
      </c>
      <c r="B139" s="10">
        <v>318338.02</v>
      </c>
      <c r="C139" s="10">
        <v>-221991.05</v>
      </c>
      <c r="D139" s="10">
        <v>96346.97</v>
      </c>
    </row>
    <row r="140" spans="1:4" x14ac:dyDescent="0.25">
      <c r="A140" s="2" t="str">
        <f>"2.1.1.01.05- Rescisoes a Pagar"</f>
        <v>2.1.1.01.05- Rescisoes a Pagar</v>
      </c>
      <c r="B140" s="10">
        <v>21789.71</v>
      </c>
      <c r="C140" s="10">
        <v>418.3</v>
      </c>
      <c r="D140" s="10">
        <v>22208.01</v>
      </c>
    </row>
    <row r="141" spans="1:4" x14ac:dyDescent="0.25">
      <c r="A141" s="2" t="str">
        <f>"2.1.1.01.09- Provisao de Ferias"</f>
        <v>2.1.1.01.09- Provisao de Ferias</v>
      </c>
      <c r="B141" s="10">
        <v>6465476.3200000003</v>
      </c>
      <c r="C141" s="10">
        <v>-1017008.47</v>
      </c>
      <c r="D141" s="10">
        <v>5448467.8499999996</v>
      </c>
    </row>
    <row r="142" spans="1:4" x14ac:dyDescent="0.25">
      <c r="A142" s="2" t="str">
        <f>"2.1.2.00.00- OBRIGACOES SOCIAIS A CURTO PRAZO"</f>
        <v>2.1.2.00.00- OBRIGACOES SOCIAIS A CURTO PRAZO</v>
      </c>
      <c r="B142" s="10">
        <v>5841649.2800000003</v>
      </c>
      <c r="C142" s="10">
        <v>-386408.89</v>
      </c>
      <c r="D142" s="10">
        <v>5455240.3899999997</v>
      </c>
    </row>
    <row r="143" spans="1:4" x14ac:dyDescent="0.25">
      <c r="A143" s="2" t="str">
        <f>"2.1.2.01.00- OBRIGACOES SOCIAIS A RECOLHER"</f>
        <v>2.1.2.01.00- OBRIGACOES SOCIAIS A RECOLHER</v>
      </c>
      <c r="B143" s="10">
        <v>5841649.2800000003</v>
      </c>
      <c r="C143" s="10">
        <v>-386408.89</v>
      </c>
      <c r="D143" s="10">
        <v>5455240.3899999997</v>
      </c>
    </row>
    <row r="144" spans="1:4" x14ac:dyDescent="0.25">
      <c r="A144" s="2" t="str">
        <f>"2.1.2.01.01- INSS a recolher s/Folha Pagto"</f>
        <v>2.1.2.01.01- INSS a recolher s/Folha Pagto</v>
      </c>
      <c r="B144" s="10">
        <v>1874751.53</v>
      </c>
      <c r="C144" s="10">
        <v>45929.08</v>
      </c>
      <c r="D144" s="10">
        <v>1920680.61</v>
      </c>
    </row>
    <row r="145" spans="1:4" x14ac:dyDescent="0.25">
      <c r="A145" s="2" t="str">
        <f>"2.1.2.01.02- FGTS a recolher s/Folha Pagto"</f>
        <v>2.1.2.01.02- FGTS a recolher s/Folha Pagto</v>
      </c>
      <c r="B145" s="10">
        <v>616502.28</v>
      </c>
      <c r="C145" s="10">
        <v>-159996.94</v>
      </c>
      <c r="D145" s="10">
        <v>456505.34</v>
      </c>
    </row>
    <row r="146" spans="1:4" x14ac:dyDescent="0.25">
      <c r="A146" s="2" t="str">
        <f>"2.1.2.01.05- Contribuicao Sindical"</f>
        <v>2.1.2.01.05- Contribuicao Sindical</v>
      </c>
      <c r="B146" s="10">
        <v>5805.59</v>
      </c>
      <c r="C146" s="10">
        <v>-64.900000000000006</v>
      </c>
      <c r="D146" s="10">
        <v>5740.69</v>
      </c>
    </row>
    <row r="147" spans="1:4" x14ac:dyDescent="0.25">
      <c r="A147" s="2" t="str">
        <f>"2.1.2.01.06- INSS s/Provisao de Ferias"</f>
        <v>2.1.2.01.06- INSS s/Provisao de Ferias</v>
      </c>
      <c r="B147" s="10">
        <v>1869311.1</v>
      </c>
      <c r="C147" s="10">
        <v>-293507.28999999998</v>
      </c>
      <c r="D147" s="10">
        <v>1575803.81</v>
      </c>
    </row>
    <row r="148" spans="1:4" x14ac:dyDescent="0.25">
      <c r="A148" s="2" t="str">
        <f>"2.1.2.01.07- AEB - Assoc. Empreg. BHTRANS"</f>
        <v>2.1.2.01.07- AEB - Assoc. Empreg. BHTRANS</v>
      </c>
      <c r="B148" s="10">
        <v>5314.56</v>
      </c>
      <c r="C148" s="10">
        <v>-146.72</v>
      </c>
      <c r="D148" s="10">
        <v>5167.84</v>
      </c>
    </row>
    <row r="149" spans="1:4" x14ac:dyDescent="0.25">
      <c r="A149" s="2" t="str">
        <f>"2.1.2.01.09- INSS a Recolher s/Autonomos"</f>
        <v>2.1.2.01.09- INSS a Recolher s/Autonomos</v>
      </c>
      <c r="B149" s="10">
        <v>2674.26</v>
      </c>
      <c r="C149" s="10">
        <v>-1531.85</v>
      </c>
      <c r="D149" s="10">
        <v>1142.4100000000001</v>
      </c>
    </row>
    <row r="150" spans="1:4" x14ac:dyDescent="0.25">
      <c r="A150" s="2" t="str">
        <f>"2.1.2.01.10- INSS s/Provisao de 13.Salario"</f>
        <v>2.1.2.01.10- INSS s/Provisao de 13.Salario</v>
      </c>
      <c r="B150" s="10">
        <v>0</v>
      </c>
      <c r="C150" s="10">
        <v>107546.91</v>
      </c>
      <c r="D150" s="10">
        <v>107546.91</v>
      </c>
    </row>
    <row r="151" spans="1:4" x14ac:dyDescent="0.25">
      <c r="A151" s="2" t="str">
        <f>"2.1.2.01.11- FGTS s/Provisao de 13.Salario"</f>
        <v>2.1.2.01.11- FGTS s/Provisao de 13.Salario</v>
      </c>
      <c r="B151" s="10">
        <v>0</v>
      </c>
      <c r="C151" s="10">
        <v>25290.16</v>
      </c>
      <c r="D151" s="10">
        <v>25290.16</v>
      </c>
    </row>
    <row r="152" spans="1:4" x14ac:dyDescent="0.25">
      <c r="A152" s="2" t="str">
        <f>"2.1.2.01.12- FGTS s/Provisao de Ferias"</f>
        <v>2.1.2.01.12- FGTS s/Provisao de Ferias</v>
      </c>
      <c r="B152" s="10">
        <v>517201.71</v>
      </c>
      <c r="C152" s="10">
        <v>-81334.19</v>
      </c>
      <c r="D152" s="10">
        <v>435867.52</v>
      </c>
    </row>
    <row r="153" spans="1:4" x14ac:dyDescent="0.25">
      <c r="A153" s="2" t="str">
        <f>"2.1.2.01.13- Contribuicao ao PAMEH"</f>
        <v>2.1.2.01.13- Contribuicao ao PAMEH</v>
      </c>
      <c r="B153" s="10">
        <v>761635.56</v>
      </c>
      <c r="C153" s="10">
        <v>-16026.14</v>
      </c>
      <c r="D153" s="10">
        <v>745609.42</v>
      </c>
    </row>
    <row r="154" spans="1:4" x14ac:dyDescent="0.25">
      <c r="A154" s="2" t="str">
        <f>"2.1.2.01.15- Crediserv-BH"</f>
        <v>2.1.2.01.15- Crediserv-BH</v>
      </c>
      <c r="B154" s="10">
        <v>18364.59</v>
      </c>
      <c r="C154" s="10">
        <v>-119.47</v>
      </c>
      <c r="D154" s="10">
        <v>18245.12</v>
      </c>
    </row>
    <row r="155" spans="1:4" x14ac:dyDescent="0.25">
      <c r="A155" s="2" t="str">
        <f>"2.1.2.01.16- INSS Fonte a Recolher - PJ"</f>
        <v>2.1.2.01.16- INSS Fonte a Recolher - PJ</v>
      </c>
      <c r="B155" s="10">
        <v>168497.65</v>
      </c>
      <c r="C155" s="10">
        <v>-12028.65</v>
      </c>
      <c r="D155" s="10">
        <v>156469</v>
      </c>
    </row>
    <row r="156" spans="1:4" x14ac:dyDescent="0.25">
      <c r="A156" s="2" t="str">
        <f>"2.1.2.01.18- INSS Fonte a Recolher - P F"</f>
        <v>2.1.2.01.18- INSS Fonte a Recolher - P F</v>
      </c>
      <c r="B156" s="10">
        <v>1040.45</v>
      </c>
      <c r="C156" s="10">
        <v>-418.89</v>
      </c>
      <c r="D156" s="10">
        <v>621.55999999999995</v>
      </c>
    </row>
    <row r="157" spans="1:4" x14ac:dyDescent="0.25">
      <c r="A157" s="2" t="str">
        <f>"2.1.2.01.19- ASFIM - PBH"</f>
        <v>2.1.2.01.19- ASFIM - PBH</v>
      </c>
      <c r="B157" s="10">
        <v>550</v>
      </c>
      <c r="C157" s="10">
        <v>0</v>
      </c>
      <c r="D157" s="10">
        <v>550</v>
      </c>
    </row>
    <row r="158" spans="1:4" x14ac:dyDescent="0.25">
      <c r="A158" s="2" t="str">
        <f>"2.1.3.00.00- OBRIGACOES FISCAIS A CURTO PRAZO"</f>
        <v>2.1.3.00.00- OBRIGACOES FISCAIS A CURTO PRAZO</v>
      </c>
      <c r="B158" s="10">
        <v>1895852</v>
      </c>
      <c r="C158" s="10">
        <v>-450198.58</v>
      </c>
      <c r="D158" s="10">
        <v>1445653.42</v>
      </c>
    </row>
    <row r="159" spans="1:4" x14ac:dyDescent="0.25">
      <c r="A159" s="2" t="str">
        <f>"2.1.3.01.00- IMPOSTOS E TAXAS A RECOLHER"</f>
        <v>2.1.3.01.00- IMPOSTOS E TAXAS A RECOLHER</v>
      </c>
      <c r="B159" s="10">
        <v>1895852</v>
      </c>
      <c r="C159" s="10">
        <v>-450198.58</v>
      </c>
      <c r="D159" s="10">
        <v>1445653.42</v>
      </c>
    </row>
    <row r="160" spans="1:4" x14ac:dyDescent="0.25">
      <c r="A160" s="2" t="str">
        <f>"2.1.3.01.01- IRRF Fonte Folha Pagto"</f>
        <v>2.1.3.01.01- IRRF Fonte Folha Pagto</v>
      </c>
      <c r="B160" s="10">
        <v>917251.5</v>
      </c>
      <c r="C160" s="10">
        <v>-436070.43</v>
      </c>
      <c r="D160" s="10">
        <v>481181.07</v>
      </c>
    </row>
    <row r="161" spans="1:4" x14ac:dyDescent="0.25">
      <c r="A161" s="2" t="str">
        <f>"2.1.3.01.03- IRRF Fonte - Pessoa  Juridica e Física"</f>
        <v>2.1.3.01.03- IRRF Fonte - Pessoa  Juridica e Física</v>
      </c>
      <c r="B161" s="10">
        <v>15896.59</v>
      </c>
      <c r="C161" s="10">
        <v>-1554.97</v>
      </c>
      <c r="D161" s="10">
        <v>14341.62</v>
      </c>
    </row>
    <row r="162" spans="1:4" x14ac:dyDescent="0.25">
      <c r="A162" s="2" t="str">
        <f>"2.1.3.01.04- ISS Retido Fonte PF"</f>
        <v>2.1.3.01.04- ISS Retido Fonte PF</v>
      </c>
      <c r="B162" s="10">
        <v>125</v>
      </c>
      <c r="C162" s="10">
        <v>-125</v>
      </c>
      <c r="D162" s="10">
        <v>0</v>
      </c>
    </row>
    <row r="163" spans="1:4" x14ac:dyDescent="0.25">
      <c r="A163" s="2" t="str">
        <f>"2.1.3.01.05- ISS S/ Faturamento"</f>
        <v>2.1.3.01.05- ISS S/ Faturamento</v>
      </c>
      <c r="B163" s="10">
        <v>1564.67</v>
      </c>
      <c r="C163" s="10">
        <v>669.29</v>
      </c>
      <c r="D163" s="10">
        <v>2233.96</v>
      </c>
    </row>
    <row r="164" spans="1:4" x14ac:dyDescent="0.25">
      <c r="A164" s="2" t="str">
        <f>"2.1.3.01.07- COFINS a Recolher"</f>
        <v>2.1.3.01.07- COFINS a Recolher</v>
      </c>
      <c r="B164" s="10">
        <v>713000.56</v>
      </c>
      <c r="C164" s="10">
        <v>-1459.78</v>
      </c>
      <c r="D164" s="10">
        <v>711540.78</v>
      </c>
    </row>
    <row r="165" spans="1:4" x14ac:dyDescent="0.25">
      <c r="A165" s="2" t="str">
        <f>"2.1.3.01.08- PIS a Recolher"</f>
        <v>2.1.3.01.08- PIS a Recolher</v>
      </c>
      <c r="B165" s="10">
        <v>154660.26999999999</v>
      </c>
      <c r="C165" s="10">
        <v>-269.7</v>
      </c>
      <c r="D165" s="10">
        <v>154390.57</v>
      </c>
    </row>
    <row r="166" spans="1:4" x14ac:dyDescent="0.25">
      <c r="A166" s="2" t="str">
        <f>"2.1.3.01.09- ISS Fonte a Recolher P.Juridica"</f>
        <v>2.1.3.01.09- ISS Fonte a Recolher P.Juridica</v>
      </c>
      <c r="B166" s="10">
        <v>7474.37</v>
      </c>
      <c r="C166" s="10">
        <v>-3019.11</v>
      </c>
      <c r="D166" s="10">
        <v>4455.26</v>
      </c>
    </row>
    <row r="167" spans="1:4" x14ac:dyDescent="0.25">
      <c r="A167" s="2" t="str">
        <f>"2.1.3.01.12- CSLL-COFINS-PIS - FONTE"</f>
        <v>2.1.3.01.12- CSLL-COFINS-PIS - FONTE</v>
      </c>
      <c r="B167" s="10">
        <v>85879.039999999994</v>
      </c>
      <c r="C167" s="10">
        <v>-8368.8799999999992</v>
      </c>
      <c r="D167" s="10">
        <v>77510.16</v>
      </c>
    </row>
    <row r="168" spans="1:4" x14ac:dyDescent="0.25">
      <c r="A168" s="2" t="str">
        <f>"2.1.4.00.00- OUTRAS OBRIGACOES A CURTO PRAZO"</f>
        <v>2.1.4.00.00- OUTRAS OBRIGACOES A CURTO PRAZO</v>
      </c>
      <c r="B168" s="10">
        <v>23962781.170000002</v>
      </c>
      <c r="C168" s="10">
        <v>754843.06</v>
      </c>
      <c r="D168" s="10">
        <v>24717624.23</v>
      </c>
    </row>
    <row r="169" spans="1:4" x14ac:dyDescent="0.25">
      <c r="A169" s="2" t="str">
        <f>"2.1.4.01.00- FORNECEDORES"</f>
        <v>2.1.4.01.00- FORNECEDORES</v>
      </c>
      <c r="B169" s="10">
        <v>3132571.58</v>
      </c>
      <c r="C169" s="10">
        <v>-159965.04</v>
      </c>
      <c r="D169" s="10">
        <v>2972606.54</v>
      </c>
    </row>
    <row r="170" spans="1:4" x14ac:dyDescent="0.25">
      <c r="A170" s="2" t="str">
        <f>"2.1.4.01.99- Fornecedores"</f>
        <v>2.1.4.01.99- Fornecedores</v>
      </c>
      <c r="B170" s="10">
        <v>3132571.58</v>
      </c>
      <c r="C170" s="10">
        <v>-159965.04</v>
      </c>
      <c r="D170" s="10">
        <v>2972606.54</v>
      </c>
    </row>
    <row r="171" spans="1:4" x14ac:dyDescent="0.25">
      <c r="A171" s="2" t="str">
        <f>"2.1.4.02.00- CONTAS A PAGAR"</f>
        <v>2.1.4.02.00- CONTAS A PAGAR</v>
      </c>
      <c r="B171" s="10">
        <v>325037.11</v>
      </c>
      <c r="C171" s="10">
        <v>47281.83</v>
      </c>
      <c r="D171" s="10">
        <v>372318.94</v>
      </c>
    </row>
    <row r="172" spans="1:4" x14ac:dyDescent="0.25">
      <c r="A172" s="2" t="str">
        <f>"2.1.4.02.01- Emprestimo Consignado - Bradesco"</f>
        <v>2.1.4.02.01- Emprestimo Consignado - Bradesco</v>
      </c>
      <c r="B172" s="10">
        <v>0</v>
      </c>
      <c r="C172" s="10">
        <v>14675.19</v>
      </c>
      <c r="D172" s="10">
        <v>14675.19</v>
      </c>
    </row>
    <row r="173" spans="1:4" x14ac:dyDescent="0.25">
      <c r="A173" s="2" t="str">
        <f>"2.1.4.02.03- Emprestimo Consignado - CEF"</f>
        <v>2.1.4.02.03- Emprestimo Consignado - CEF</v>
      </c>
      <c r="B173" s="10">
        <v>46701.41</v>
      </c>
      <c r="C173" s="10">
        <v>-3959.47</v>
      </c>
      <c r="D173" s="10">
        <v>42741.94</v>
      </c>
    </row>
    <row r="174" spans="1:4" x14ac:dyDescent="0.25">
      <c r="A174" s="2" t="str">
        <f>"2.1.4.02.04- Emprestimo Consignado - B.Brasil"</f>
        <v>2.1.4.02.04- Emprestimo Consignado - B.Brasil</v>
      </c>
      <c r="B174" s="10">
        <v>86467.17</v>
      </c>
      <c r="C174" s="10">
        <v>6857.9</v>
      </c>
      <c r="D174" s="10">
        <v>93325.07</v>
      </c>
    </row>
    <row r="175" spans="1:4" x14ac:dyDescent="0.25">
      <c r="A175" s="2" t="str">
        <f>"2.1.4.02.05- Emprestimo Consignado-Banco Alfa"</f>
        <v>2.1.4.02.05- Emprestimo Consignado-Banco Alfa</v>
      </c>
      <c r="B175" s="10">
        <v>88529.85</v>
      </c>
      <c r="C175" s="10">
        <v>-4052.15</v>
      </c>
      <c r="D175" s="10">
        <v>84477.7</v>
      </c>
    </row>
    <row r="176" spans="1:4" x14ac:dyDescent="0.25">
      <c r="A176" s="2" t="str">
        <f>"2.1.4.02.07- Emprestimo Consignado - B. Safra"</f>
        <v>2.1.4.02.07- Emprestimo Consignado - B. Safra</v>
      </c>
      <c r="B176" s="10">
        <v>28950.32</v>
      </c>
      <c r="C176" s="10">
        <v>-4638.7700000000004</v>
      </c>
      <c r="D176" s="10">
        <v>24311.55</v>
      </c>
    </row>
    <row r="177" spans="1:4" x14ac:dyDescent="0.25">
      <c r="A177" s="2" t="str">
        <f>"2.1.4.02.08- Emprestimo Consignado - BMG"</f>
        <v>2.1.4.02.08- Emprestimo Consignado - BMG</v>
      </c>
      <c r="B177" s="10">
        <v>1048.25</v>
      </c>
      <c r="C177" s="10">
        <v>0</v>
      </c>
      <c r="D177" s="10">
        <v>1048.25</v>
      </c>
    </row>
    <row r="178" spans="1:4" x14ac:dyDescent="0.25">
      <c r="A178" s="2" t="str">
        <f>"2.1.4.02.09- Emprestimo Consignado - BMC"</f>
        <v>2.1.4.02.09- Emprestimo Consignado - BMC</v>
      </c>
      <c r="B178" s="10">
        <v>692.55</v>
      </c>
      <c r="C178" s="10">
        <v>0</v>
      </c>
      <c r="D178" s="10">
        <v>692.55</v>
      </c>
    </row>
    <row r="179" spans="1:4" x14ac:dyDescent="0.25">
      <c r="A179" s="2" t="str">
        <f>"2.1.4.02.10- Cartão - BMG Card"</f>
        <v>2.1.4.02.10- Cartão - BMG Card</v>
      </c>
      <c r="B179" s="10">
        <v>7912.12</v>
      </c>
      <c r="C179" s="10">
        <v>335.69</v>
      </c>
      <c r="D179" s="10">
        <v>8247.81</v>
      </c>
    </row>
    <row r="180" spans="1:4" x14ac:dyDescent="0.25">
      <c r="A180" s="2" t="str">
        <f>"2.1.4.02.11- Contrib.Entid.Classe"</f>
        <v>2.1.4.02.11- Contrib.Entid.Classe</v>
      </c>
      <c r="B180" s="10">
        <v>0</v>
      </c>
      <c r="C180" s="10">
        <v>3907.67</v>
      </c>
      <c r="D180" s="10">
        <v>3907.67</v>
      </c>
    </row>
    <row r="181" spans="1:4" x14ac:dyDescent="0.25">
      <c r="A181" s="2" t="str">
        <f>"2.1.4.02.12- Custas judiciais"</f>
        <v>2.1.4.02.12- Custas judiciais</v>
      </c>
      <c r="B181" s="10">
        <v>0</v>
      </c>
      <c r="C181" s="10">
        <v>3110.91</v>
      </c>
      <c r="D181" s="10">
        <v>3110.91</v>
      </c>
    </row>
    <row r="182" spans="1:4" x14ac:dyDescent="0.25">
      <c r="A182" s="2" t="str">
        <f>"2.1.4.02.99- Contas a Pagar"</f>
        <v>2.1.4.02.99- Contas a Pagar</v>
      </c>
      <c r="B182" s="10">
        <v>64735.44</v>
      </c>
      <c r="C182" s="10">
        <v>31044.86</v>
      </c>
      <c r="D182" s="10">
        <v>95780.3</v>
      </c>
    </row>
    <row r="183" spans="1:4" x14ac:dyDescent="0.25">
      <c r="A183" s="2" t="str">
        <f>"2.1.4.03.00- CREDORES DIVERSOS"</f>
        <v>2.1.4.03.00- CREDORES DIVERSOS</v>
      </c>
      <c r="B183" s="10">
        <v>19982284.949999999</v>
      </c>
      <c r="C183" s="10">
        <v>849351.85</v>
      </c>
      <c r="D183" s="10">
        <v>20831636.800000001</v>
      </c>
    </row>
    <row r="184" spans="1:4" x14ac:dyDescent="0.25">
      <c r="A184" s="2" t="str">
        <f>"2.1.4.03.07- Adiantamento Acionista - Municipio BH"</f>
        <v>2.1.4.03.07- Adiantamento Acionista - Municipio BH</v>
      </c>
      <c r="B184" s="10">
        <v>19269129.210000001</v>
      </c>
      <c r="C184" s="10">
        <v>780823.35</v>
      </c>
      <c r="D184" s="10">
        <v>20049952.559999999</v>
      </c>
    </row>
    <row r="185" spans="1:4" x14ac:dyDescent="0.25">
      <c r="A185" s="2" t="str">
        <f>"2.1.4.03.17- Adiantamento de Clientes"</f>
        <v>2.1.4.03.17- Adiantamento de Clientes</v>
      </c>
      <c r="B185" s="10">
        <v>713155.74</v>
      </c>
      <c r="C185" s="10">
        <v>68528.5</v>
      </c>
      <c r="D185" s="10">
        <v>781684.24</v>
      </c>
    </row>
    <row r="186" spans="1:4" x14ac:dyDescent="0.25">
      <c r="A186" s="2" t="str">
        <f>"2.1.4.04.00- CAUCAO DE TERCEIROS/LEILAO"</f>
        <v>2.1.4.04.00- CAUCAO DE TERCEIROS/LEILAO</v>
      </c>
      <c r="B186" s="10">
        <v>522887.53</v>
      </c>
      <c r="C186" s="10">
        <v>18174.419999999998</v>
      </c>
      <c r="D186" s="10">
        <v>541061.94999999995</v>
      </c>
    </row>
    <row r="187" spans="1:4" x14ac:dyDescent="0.25">
      <c r="A187" s="2" t="str">
        <f>"2.1.4.04.98- Leilões"</f>
        <v>2.1.4.04.98- Leilões</v>
      </c>
      <c r="B187" s="10">
        <v>357641.41</v>
      </c>
      <c r="C187" s="10">
        <v>0</v>
      </c>
      <c r="D187" s="10">
        <v>357641.41</v>
      </c>
    </row>
    <row r="188" spans="1:4" x14ac:dyDescent="0.25">
      <c r="A188" s="2" t="str">
        <f>"2.1.4.04.99- Caucao de Terceiros"</f>
        <v>2.1.4.04.99- Caucao de Terceiros</v>
      </c>
      <c r="B188" s="10">
        <v>165246.12</v>
      </c>
      <c r="C188" s="10">
        <v>18174.419999999998</v>
      </c>
      <c r="D188" s="10">
        <v>183420.54</v>
      </c>
    </row>
    <row r="189" spans="1:4" x14ac:dyDescent="0.25">
      <c r="A189" s="2" t="str">
        <f>"2.1.6.00.00- OBRIGACOES VINC. A PAGAR-PAMEH"</f>
        <v>2.1.6.00.00- OBRIGACOES VINC. A PAGAR-PAMEH</v>
      </c>
      <c r="B189" s="10">
        <v>22328.639999999999</v>
      </c>
      <c r="C189" s="10">
        <v>3484.1</v>
      </c>
      <c r="D189" s="10">
        <v>25812.74</v>
      </c>
    </row>
    <row r="190" spans="1:4" x14ac:dyDescent="0.25">
      <c r="A190" s="2" t="str">
        <f>"2.1.6.01.00- OBRIGACOES VINC. -PAMEH"</f>
        <v>2.1.6.01.00- OBRIGACOES VINC. -PAMEH</v>
      </c>
      <c r="B190" s="10">
        <v>22328.639999999999</v>
      </c>
      <c r="C190" s="10">
        <v>3484.1</v>
      </c>
      <c r="D190" s="10">
        <v>25812.74</v>
      </c>
    </row>
    <row r="191" spans="1:4" x14ac:dyDescent="0.25">
      <c r="A191" s="2" t="str">
        <f>"2.1.6.01.01- Obrigacoes Vinculadas - PAMEH"</f>
        <v>2.1.6.01.01- Obrigacoes Vinculadas - PAMEH</v>
      </c>
      <c r="B191" s="10">
        <v>22328.639999999999</v>
      </c>
      <c r="C191" s="10">
        <v>3484.1</v>
      </c>
      <c r="D191" s="10">
        <v>25812.74</v>
      </c>
    </row>
    <row r="192" spans="1:4" x14ac:dyDescent="0.25">
      <c r="A192" s="2" t="str">
        <f>"2.1.8.00.00- CONTINGÊNCIAS TRABALHISTAS"</f>
        <v>2.1.8.00.00- CONTINGÊNCIAS TRABALHISTAS</v>
      </c>
      <c r="B192" s="10">
        <v>11035653.51</v>
      </c>
      <c r="C192" s="10">
        <v>0</v>
      </c>
      <c r="D192" s="10">
        <v>11035653.51</v>
      </c>
    </row>
    <row r="193" spans="1:4" x14ac:dyDescent="0.25">
      <c r="A193" s="2" t="str">
        <f>"2.1.8.01.00- CONTINGÊNCIAS TRABALHISTAS"</f>
        <v>2.1.8.01.00- CONTINGÊNCIAS TRABALHISTAS</v>
      </c>
      <c r="B193" s="10">
        <v>11035653.51</v>
      </c>
      <c r="C193" s="10">
        <v>0</v>
      </c>
      <c r="D193" s="10">
        <v>11035653.51</v>
      </c>
    </row>
    <row r="194" spans="1:4" x14ac:dyDescent="0.25">
      <c r="A194" s="2" t="str">
        <f>"2.1.8.01.01- Contingências Trabalhistas - ACT"</f>
        <v>2.1.8.01.01- Contingências Trabalhistas - ACT</v>
      </c>
      <c r="B194" s="10">
        <v>11035653.51</v>
      </c>
      <c r="C194" s="10">
        <v>0</v>
      </c>
      <c r="D194" s="10">
        <v>11035653.51</v>
      </c>
    </row>
    <row r="195" spans="1:4" x14ac:dyDescent="0.25">
      <c r="A195" s="2" t="str">
        <f>"2.2.0.00.00- PASSIVO NAO CIRCULANTE"</f>
        <v>2.2.0.00.00- PASSIVO NAO CIRCULANTE</v>
      </c>
      <c r="B195" s="10">
        <v>40824584.799999997</v>
      </c>
      <c r="C195" s="10">
        <v>-47879.93</v>
      </c>
      <c r="D195" s="10">
        <v>40776704.869999997</v>
      </c>
    </row>
    <row r="196" spans="1:4" x14ac:dyDescent="0.25">
      <c r="A196" s="2" t="str">
        <f>"2.2.4.00.00- OUTRAS OBRIGACOES A LONGO PRAZO"</f>
        <v>2.2.4.00.00- OUTRAS OBRIGACOES A LONGO PRAZO</v>
      </c>
      <c r="B196" s="10">
        <v>35777514.850000001</v>
      </c>
      <c r="C196" s="10">
        <v>6272.63</v>
      </c>
      <c r="D196" s="10">
        <v>35783787.479999997</v>
      </c>
    </row>
    <row r="197" spans="1:4" x14ac:dyDescent="0.25">
      <c r="A197" s="2" t="str">
        <f>"2.2.4.01.00- CREDORES DIVERSOS"</f>
        <v>2.2.4.01.00- CREDORES DIVERSOS</v>
      </c>
      <c r="B197" s="10">
        <v>15048557.66</v>
      </c>
      <c r="C197" s="10">
        <v>0</v>
      </c>
      <c r="D197" s="10">
        <v>15048557.66</v>
      </c>
    </row>
    <row r="198" spans="1:4" x14ac:dyDescent="0.25">
      <c r="A198" s="2" t="str">
        <f>"2.2.4.01.04- Provisão para Contingências Fiscais"</f>
        <v>2.2.4.01.04- Provisão para Contingências Fiscais</v>
      </c>
      <c r="B198" s="10">
        <v>14106702.720000001</v>
      </c>
      <c r="C198" s="10">
        <v>0</v>
      </c>
      <c r="D198" s="10">
        <v>14106702.720000001</v>
      </c>
    </row>
    <row r="199" spans="1:4" x14ac:dyDescent="0.25">
      <c r="A199" s="2" t="str">
        <f>"2.2.4.01.05- INSS Segurados"</f>
        <v>2.2.4.01.05- INSS Segurados</v>
      </c>
      <c r="B199" s="10">
        <v>941854.94</v>
      </c>
      <c r="C199" s="10">
        <v>0</v>
      </c>
      <c r="D199" s="10">
        <v>941854.94</v>
      </c>
    </row>
    <row r="200" spans="1:4" x14ac:dyDescent="0.25">
      <c r="A200" s="2" t="str">
        <f>"2.2.4.04.00- ACOES JUDICIAIS E TRABALHISTAS"</f>
        <v>2.2.4.04.00- ACOES JUDICIAIS E TRABALHISTAS</v>
      </c>
      <c r="B200" s="10">
        <v>20728957.190000001</v>
      </c>
      <c r="C200" s="10">
        <v>6272.63</v>
      </c>
      <c r="D200" s="10">
        <v>20735229.82</v>
      </c>
    </row>
    <row r="201" spans="1:4" x14ac:dyDescent="0.25">
      <c r="A201" s="2" t="str">
        <f>"2.2.4.04.01- Acoes judiciais"</f>
        <v>2.2.4.04.01- Acoes judiciais</v>
      </c>
      <c r="B201" s="10">
        <v>16352094.85</v>
      </c>
      <c r="C201" s="10">
        <v>6272.63</v>
      </c>
      <c r="D201" s="10">
        <v>16358367.48</v>
      </c>
    </row>
    <row r="202" spans="1:4" x14ac:dyDescent="0.25">
      <c r="A202" s="2" t="str">
        <f>"2.2.4.04.02- Acoes trabalhistas"</f>
        <v>2.2.4.04.02- Acoes trabalhistas</v>
      </c>
      <c r="B202" s="10">
        <v>4376862.34</v>
      </c>
      <c r="C202" s="10">
        <v>0</v>
      </c>
      <c r="D202" s="10">
        <v>4376862.34</v>
      </c>
    </row>
    <row r="203" spans="1:4" x14ac:dyDescent="0.25">
      <c r="A203" s="2" t="str">
        <f>"2.2.5.00.00- OBRIGACOES VINC.  AO PAMEH"</f>
        <v>2.2.5.00.00- OBRIGACOES VINC.  AO PAMEH</v>
      </c>
      <c r="B203" s="10">
        <v>5047069.95</v>
      </c>
      <c r="C203" s="10">
        <v>-54152.56</v>
      </c>
      <c r="D203" s="10">
        <v>4992917.3899999997</v>
      </c>
    </row>
    <row r="204" spans="1:4" x14ac:dyDescent="0.25">
      <c r="A204" s="2" t="str">
        <f>"2.2.5.01.00- OBRIGACOES VINC.  AO PAMEH"</f>
        <v>2.2.5.01.00- OBRIGACOES VINC.  AO PAMEH</v>
      </c>
      <c r="B204" s="10">
        <v>5047069.95</v>
      </c>
      <c r="C204" s="10">
        <v>-54152.56</v>
      </c>
      <c r="D204" s="10">
        <v>4992917.3899999997</v>
      </c>
    </row>
    <row r="205" spans="1:4" x14ac:dyDescent="0.25">
      <c r="A205" s="2" t="str">
        <f>"2.2.5.01.01- Resultado Exerc.Anteriores-PAMEH"</f>
        <v>2.2.5.01.01- Resultado Exerc.Anteriores-PAMEH</v>
      </c>
      <c r="B205" s="10">
        <v>4730052.8</v>
      </c>
      <c r="C205" s="10">
        <v>-1272924.6200000001</v>
      </c>
      <c r="D205" s="10">
        <v>3457128.18</v>
      </c>
    </row>
    <row r="206" spans="1:4" x14ac:dyDescent="0.25">
      <c r="A206" s="2" t="str">
        <f>"2.2.5.01.02- Resultado deste Exercicio-PAMEH"</f>
        <v>2.2.5.01.02- Resultado deste Exercicio-PAMEH</v>
      </c>
      <c r="B206" s="10">
        <v>-1272924.6200000001</v>
      </c>
      <c r="C206" s="10">
        <v>1218772.06</v>
      </c>
      <c r="D206" s="10">
        <v>-54152.56</v>
      </c>
    </row>
    <row r="207" spans="1:4" x14ac:dyDescent="0.25">
      <c r="A207" s="2" t="str">
        <f>"2.2.5.01.03- Ajuste Exercício Anterior - PAMEH"</f>
        <v>2.2.5.01.03- Ajuste Exercício Anterior - PAMEH</v>
      </c>
      <c r="B207" s="10">
        <v>1589941.77</v>
      </c>
      <c r="C207" s="10">
        <v>0</v>
      </c>
      <c r="D207" s="10">
        <v>1589941.77</v>
      </c>
    </row>
    <row r="208" spans="1:4" x14ac:dyDescent="0.25">
      <c r="A208" s="2" t="str">
        <f>"2.4.0.00.00- PATRIMONIO LIQUIDO"</f>
        <v>2.4.0.00.00- PATRIMONIO LIQUIDO</v>
      </c>
      <c r="B208" s="10">
        <v>-63911653.240000002</v>
      </c>
      <c r="C208" s="10">
        <v>0</v>
      </c>
      <c r="D208" s="10">
        <v>-63911653.240000002</v>
      </c>
    </row>
    <row r="209" spans="1:4" x14ac:dyDescent="0.25">
      <c r="A209" s="2" t="str">
        <f>"2.4.1.00.00- CAPITAL SOCIAL"</f>
        <v>2.4.1.00.00- CAPITAL SOCIAL</v>
      </c>
      <c r="B209" s="10">
        <v>67418193.159999996</v>
      </c>
      <c r="C209" s="10">
        <v>0</v>
      </c>
      <c r="D209" s="10">
        <v>67418193.159999996</v>
      </c>
    </row>
    <row r="210" spans="1:4" x14ac:dyDescent="0.25">
      <c r="A210" s="2" t="str">
        <f>"2.4.1.02.00- CAPITAL REALIZADO"</f>
        <v>2.4.1.02.00- CAPITAL REALIZADO</v>
      </c>
      <c r="B210" s="10">
        <v>67418193.159999996</v>
      </c>
      <c r="C210" s="10">
        <v>0</v>
      </c>
      <c r="D210" s="10">
        <v>67418193.159999996</v>
      </c>
    </row>
    <row r="211" spans="1:4" x14ac:dyDescent="0.25">
      <c r="A211" s="2" t="str">
        <f>"2.4.1.02.01- Capital Subscrito"</f>
        <v>2.4.1.02.01- Capital Subscrito</v>
      </c>
      <c r="B211" s="10">
        <v>75000000</v>
      </c>
      <c r="C211" s="10">
        <v>0</v>
      </c>
      <c r="D211" s="10">
        <v>75000000</v>
      </c>
    </row>
    <row r="212" spans="1:4" x14ac:dyDescent="0.25">
      <c r="A212" s="2" t="str">
        <f>"2.4.1.02.04- Capital a Realizar"</f>
        <v>2.4.1.02.04- Capital a Realizar</v>
      </c>
      <c r="B212" s="10">
        <v>-7581806.8399999999</v>
      </c>
      <c r="C212" s="10">
        <v>0</v>
      </c>
      <c r="D212" s="10">
        <v>-7581806.8399999999</v>
      </c>
    </row>
    <row r="213" spans="1:4" x14ac:dyDescent="0.25">
      <c r="A213" s="2" t="str">
        <f>"2.4.3.00.00- RESULTADOS ACUMULADOS"</f>
        <v>2.4.3.00.00- RESULTADOS ACUMULADOS</v>
      </c>
      <c r="B213" s="10">
        <v>-131329846.40000001</v>
      </c>
      <c r="C213" s="10">
        <v>0</v>
      </c>
      <c r="D213" s="10">
        <v>-131329846.40000001</v>
      </c>
    </row>
    <row r="214" spans="1:4" x14ac:dyDescent="0.25">
      <c r="A214" s="2" t="str">
        <f>"2.4.3.01.00- LUCROS/PREJUIZOS ACUMULADOS"</f>
        <v>2.4.3.01.00- LUCROS/PREJUIZOS ACUMULADOS</v>
      </c>
      <c r="B214" s="10">
        <v>-131329846.40000001</v>
      </c>
      <c r="C214" s="10">
        <v>0</v>
      </c>
      <c r="D214" s="10">
        <v>-131329846.40000001</v>
      </c>
    </row>
    <row r="215" spans="1:4" x14ac:dyDescent="0.25">
      <c r="A215" s="2" t="str">
        <f>"2.4.3.01.01- Resultados de Exerc. Anteriores"</f>
        <v>2.4.3.01.01- Resultados de Exerc. Anteriores</v>
      </c>
      <c r="B215" s="10">
        <v>-111072641.47</v>
      </c>
      <c r="C215" s="10">
        <v>-20257204.93</v>
      </c>
      <c r="D215" s="10">
        <v>-131329846.40000001</v>
      </c>
    </row>
    <row r="216" spans="1:4" x14ac:dyDescent="0.25">
      <c r="A216" s="2" t="str">
        <f>"2.4.3.01.02- Resultado deste Exercicio"</f>
        <v>2.4.3.01.02- Resultado deste Exercicio</v>
      </c>
      <c r="B216" s="10">
        <v>-24050110.309999999</v>
      </c>
      <c r="C216" s="10">
        <v>24050110.309999999</v>
      </c>
      <c r="D216" s="10">
        <v>0</v>
      </c>
    </row>
    <row r="217" spans="1:4" x14ac:dyDescent="0.25">
      <c r="A217" s="2" t="str">
        <f>"2.4.3.01.03- Ajuste do Exercicio Anterior"</f>
        <v>2.4.3.01.03- Ajuste do Exercicio Anterior</v>
      </c>
      <c r="B217" s="10">
        <v>3792905.38</v>
      </c>
      <c r="C217" s="10">
        <v>-3792905.38</v>
      </c>
      <c r="D217" s="10">
        <v>0</v>
      </c>
    </row>
    <row r="218" spans="1:4" x14ac:dyDescent="0.25">
      <c r="A218" s="2" t="str">
        <f>""</f>
        <v/>
      </c>
      <c r="B218" s="3" t="str">
        <f>""</f>
        <v/>
      </c>
      <c r="C218" s="3" t="str">
        <f>""</f>
        <v/>
      </c>
      <c r="D218" s="3" t="str">
        <f>""</f>
        <v/>
      </c>
    </row>
    <row r="219" spans="1:4" x14ac:dyDescent="0.25">
      <c r="A219" s="2" t="str">
        <f>""</f>
        <v/>
      </c>
      <c r="B219" s="3" t="str">
        <f>""</f>
        <v/>
      </c>
      <c r="C219" s="3" t="str">
        <f>""</f>
        <v/>
      </c>
      <c r="D219" s="3" t="str">
        <f>""</f>
        <v/>
      </c>
    </row>
    <row r="220" spans="1:4" x14ac:dyDescent="0.25">
      <c r="A220" s="2" t="str">
        <f>""</f>
        <v/>
      </c>
      <c r="B220" s="3" t="str">
        <f>""</f>
        <v/>
      </c>
      <c r="C220" s="3" t="str">
        <f>""</f>
        <v/>
      </c>
      <c r="D220" s="3" t="str">
        <f>""</f>
        <v/>
      </c>
    </row>
    <row r="221" spans="1:4" x14ac:dyDescent="0.25">
      <c r="A221" s="2" t="str">
        <f>""</f>
        <v/>
      </c>
      <c r="B221" s="3" t="str">
        <f>""</f>
        <v/>
      </c>
      <c r="C221" s="3" t="str">
        <f>""</f>
        <v/>
      </c>
      <c r="D221" s="3" t="str">
        <f>""</f>
        <v/>
      </c>
    </row>
    <row r="222" spans="1:4" x14ac:dyDescent="0.25">
      <c r="A222" s="2" t="str">
        <f>""</f>
        <v/>
      </c>
      <c r="B222" s="3" t="str">
        <f>""</f>
        <v/>
      </c>
      <c r="C222" s="3" t="str">
        <f>""</f>
        <v/>
      </c>
      <c r="D222" s="3" t="str">
        <f>""</f>
        <v/>
      </c>
    </row>
    <row r="223" spans="1:4" x14ac:dyDescent="0.25">
      <c r="A223" s="2"/>
      <c r="B223" s="3" t="str">
        <f>""</f>
        <v/>
      </c>
      <c r="C223" s="3" t="str">
        <f>""</f>
        <v/>
      </c>
      <c r="D223" s="3" t="str">
        <f>""</f>
        <v/>
      </c>
    </row>
    <row r="224" spans="1:4" x14ac:dyDescent="0.25">
      <c r="A224" s="2" t="str">
        <f>""</f>
        <v/>
      </c>
      <c r="B224" s="3" t="str">
        <f>""</f>
        <v/>
      </c>
      <c r="C224" s="3" t="str">
        <f>""</f>
        <v/>
      </c>
      <c r="D224" s="3" t="str">
        <f>""</f>
        <v/>
      </c>
    </row>
    <row r="225" spans="1:4" x14ac:dyDescent="0.25">
      <c r="A225" s="2" t="str">
        <f>"DESPESAS"</f>
        <v>DESPESAS</v>
      </c>
      <c r="B225" s="3" t="str">
        <f>""</f>
        <v/>
      </c>
      <c r="C225" s="3" t="str">
        <f>""</f>
        <v/>
      </c>
      <c r="D225" s="3" t="str">
        <f>""</f>
        <v/>
      </c>
    </row>
    <row r="226" spans="1:4" x14ac:dyDescent="0.25">
      <c r="A226" s="2" t="str">
        <f>"3.0.0.00.00- DESPESAS"</f>
        <v>3.0.0.00.00- DESPESAS</v>
      </c>
      <c r="B226" s="10">
        <v>0</v>
      </c>
      <c r="C226" s="10">
        <v>9882190.4199999999</v>
      </c>
      <c r="D226" s="10">
        <v>9882190.4199999999</v>
      </c>
    </row>
    <row r="227" spans="1:4" x14ac:dyDescent="0.25">
      <c r="A227" s="2" t="str">
        <f>"3.1.0.00.00- DESPESAS OPERACIONAIS"</f>
        <v>3.1.0.00.00- DESPESAS OPERACIONAIS</v>
      </c>
      <c r="B227" s="10">
        <v>0</v>
      </c>
      <c r="C227" s="10">
        <v>9882190.4199999999</v>
      </c>
      <c r="D227" s="10">
        <v>9882190.4199999999</v>
      </c>
    </row>
    <row r="228" spans="1:4" x14ac:dyDescent="0.25">
      <c r="A228" s="2" t="str">
        <f>"3.1.1.00.00- SALARIOS ADICIONAIS E HONORARIOS"</f>
        <v>3.1.1.00.00- SALARIOS ADICIONAIS E HONORARIOS</v>
      </c>
      <c r="B228" s="10">
        <v>0</v>
      </c>
      <c r="C228" s="10">
        <v>5064908.59</v>
      </c>
      <c r="D228" s="10">
        <v>5064908.59</v>
      </c>
    </row>
    <row r="229" spans="1:4" x14ac:dyDescent="0.25">
      <c r="A229" s="2" t="str">
        <f>"3.1.1.00.01- Honorarios diretoria"</f>
        <v>3.1.1.00.01- Honorarios diretoria</v>
      </c>
      <c r="B229" s="10">
        <v>0</v>
      </c>
      <c r="C229" s="10">
        <v>64196.46</v>
      </c>
      <c r="D229" s="10">
        <v>64196.46</v>
      </c>
    </row>
    <row r="230" spans="1:4" x14ac:dyDescent="0.25">
      <c r="A230" s="2" t="str">
        <f>"3.1.1.00.02- Honorarios conselho fiscal"</f>
        <v>3.1.1.00.02- Honorarios conselho fiscal</v>
      </c>
      <c r="B230" s="10">
        <v>0</v>
      </c>
      <c r="C230" s="10">
        <v>5320.32</v>
      </c>
      <c r="D230" s="10">
        <v>5320.32</v>
      </c>
    </row>
    <row r="231" spans="1:4" x14ac:dyDescent="0.25">
      <c r="A231" s="2" t="str">
        <f>"3.1.1.00.03- Honorarios cons. administracao"</f>
        <v>3.1.1.00.03- Honorarios cons. administracao</v>
      </c>
      <c r="B231" s="10">
        <v>0</v>
      </c>
      <c r="C231" s="10">
        <v>10631.31</v>
      </c>
      <c r="D231" s="10">
        <v>10631.31</v>
      </c>
    </row>
    <row r="232" spans="1:4" x14ac:dyDescent="0.25">
      <c r="A232" s="2" t="str">
        <f>"3.1.1.00.04- Salarios e adicionais"</f>
        <v>3.1.1.00.04- Salarios e adicionais</v>
      </c>
      <c r="B232" s="10">
        <v>0</v>
      </c>
      <c r="C232" s="10">
        <v>4001737.21</v>
      </c>
      <c r="D232" s="10">
        <v>4001737.21</v>
      </c>
    </row>
    <row r="233" spans="1:4" x14ac:dyDescent="0.25">
      <c r="A233" s="2" t="str">
        <f>"3.1.1.00.05- Ferias e abono pecuniario"</f>
        <v>3.1.1.00.05- Ferias e abono pecuniario</v>
      </c>
      <c r="B233" s="10">
        <v>0</v>
      </c>
      <c r="C233" s="10">
        <v>588069.56000000006</v>
      </c>
      <c r="D233" s="10">
        <v>588069.56000000006</v>
      </c>
    </row>
    <row r="234" spans="1:4" x14ac:dyDescent="0.25">
      <c r="A234" s="2" t="str">
        <f>"3.1.1.00.06- Decimo terceiro salario"</f>
        <v>3.1.1.00.06- Decimo terceiro salario</v>
      </c>
      <c r="B234" s="10">
        <v>0</v>
      </c>
      <c r="C234" s="10">
        <v>371835.38</v>
      </c>
      <c r="D234" s="10">
        <v>371835.38</v>
      </c>
    </row>
    <row r="235" spans="1:4" x14ac:dyDescent="0.25">
      <c r="A235" s="2" t="str">
        <f>"3.1.1.00.07- Indenizacoes trabalhistas"</f>
        <v>3.1.1.00.07- Indenizacoes trabalhistas</v>
      </c>
      <c r="B235" s="10">
        <v>0</v>
      </c>
      <c r="C235" s="10">
        <v>8684.49</v>
      </c>
      <c r="D235" s="10">
        <v>8684.49</v>
      </c>
    </row>
    <row r="236" spans="1:4" x14ac:dyDescent="0.25">
      <c r="A236" s="2" t="str">
        <f>"3.1.1.00.08- Bolsas de estagiario"</f>
        <v>3.1.1.00.08- Bolsas de estagiario</v>
      </c>
      <c r="B236" s="10">
        <v>0</v>
      </c>
      <c r="C236" s="10">
        <v>14433.86</v>
      </c>
      <c r="D236" s="10">
        <v>14433.86</v>
      </c>
    </row>
    <row r="237" spans="1:4" x14ac:dyDescent="0.25">
      <c r="A237" s="2" t="str">
        <f>"3.1.2.01.00- ENCARGOS SOCIAIS"</f>
        <v>3.1.2.01.00- ENCARGOS SOCIAIS</v>
      </c>
      <c r="B237" s="10">
        <v>0</v>
      </c>
      <c r="C237" s="10">
        <v>1685841.76</v>
      </c>
      <c r="D237" s="10">
        <v>1685841.76</v>
      </c>
    </row>
    <row r="238" spans="1:4" x14ac:dyDescent="0.25">
      <c r="A238" s="2" t="str">
        <f>"3.1.2.01.01- INSS"</f>
        <v>3.1.2.01.01- INSS</v>
      </c>
      <c r="B238" s="10">
        <v>0</v>
      </c>
      <c r="C238" s="10">
        <v>1283496.8600000001</v>
      </c>
      <c r="D238" s="10">
        <v>1283496.8600000001</v>
      </c>
    </row>
    <row r="239" spans="1:4" x14ac:dyDescent="0.25">
      <c r="A239" s="2" t="str">
        <f>"3.1.2.01.02- FGTS"</f>
        <v>3.1.2.01.02- FGTS</v>
      </c>
      <c r="B239" s="10">
        <v>0</v>
      </c>
      <c r="C239" s="10">
        <v>402344.9</v>
      </c>
      <c r="D239" s="10">
        <v>402344.9</v>
      </c>
    </row>
    <row r="240" spans="1:4" x14ac:dyDescent="0.25">
      <c r="A240" s="2" t="str">
        <f>"3.1.2.02.00- OUTRAS DESPESAS COM PESSOAL"</f>
        <v>3.1.2.02.00- OUTRAS DESPESAS COM PESSOAL</v>
      </c>
      <c r="B240" s="10">
        <v>0</v>
      </c>
      <c r="C240" s="10">
        <v>984392.06</v>
      </c>
      <c r="D240" s="10">
        <v>984392.06</v>
      </c>
    </row>
    <row r="241" spans="1:4" x14ac:dyDescent="0.25">
      <c r="A241" s="2" t="str">
        <f>"3.1.2.02.01- Seguros de Vida"</f>
        <v>3.1.2.02.01- Seguros de Vida</v>
      </c>
      <c r="B241" s="10">
        <v>0</v>
      </c>
      <c r="C241" s="10">
        <v>36531.17</v>
      </c>
      <c r="D241" s="10">
        <v>36531.17</v>
      </c>
    </row>
    <row r="242" spans="1:4" x14ac:dyDescent="0.25">
      <c r="A242" s="2" t="str">
        <f>"3.1.2.02.02- Ass. Medica Odontologica"</f>
        <v>3.1.2.02.02- Ass. Medica Odontologica</v>
      </c>
      <c r="B242" s="10">
        <v>0</v>
      </c>
      <c r="C242" s="10">
        <v>243099.69</v>
      </c>
      <c r="D242" s="10">
        <v>243099.69</v>
      </c>
    </row>
    <row r="243" spans="1:4" x14ac:dyDescent="0.25">
      <c r="A243" s="2" t="str">
        <f>"3.1.2.02.03- Vale Transporte"</f>
        <v>3.1.2.02.03- Vale Transporte</v>
      </c>
      <c r="B243" s="10">
        <v>0</v>
      </c>
      <c r="C243" s="10">
        <v>104913.5</v>
      </c>
      <c r="D243" s="10">
        <v>104913.5</v>
      </c>
    </row>
    <row r="244" spans="1:4" x14ac:dyDescent="0.25">
      <c r="A244" s="2" t="str">
        <f>"3.1.2.02.04- Vale Refeicao/Alimentacao"</f>
        <v>3.1.2.02.04- Vale Refeicao/Alimentacao</v>
      </c>
      <c r="B244" s="10">
        <v>0</v>
      </c>
      <c r="C244" s="10">
        <v>577767.66</v>
      </c>
      <c r="D244" s="10">
        <v>577767.66</v>
      </c>
    </row>
    <row r="245" spans="1:4" x14ac:dyDescent="0.25">
      <c r="A245" s="2" t="str">
        <f>"3.1.2.02.05- Compl. Auxilio Doenca"</f>
        <v>3.1.2.02.05- Compl. Auxilio Doenca</v>
      </c>
      <c r="B245" s="10">
        <v>0</v>
      </c>
      <c r="C245" s="10">
        <v>2812.54</v>
      </c>
      <c r="D245" s="10">
        <v>2812.54</v>
      </c>
    </row>
    <row r="246" spans="1:4" x14ac:dyDescent="0.25">
      <c r="A246" s="2" t="str">
        <f>"3.1.2.02.07- Auxilio Creche"</f>
        <v>3.1.2.02.07- Auxilio Creche</v>
      </c>
      <c r="B246" s="10">
        <v>0</v>
      </c>
      <c r="C246" s="10">
        <v>19267.5</v>
      </c>
      <c r="D246" s="10">
        <v>19267.5</v>
      </c>
    </row>
    <row r="247" spans="1:4" x14ac:dyDescent="0.25">
      <c r="A247" s="2" t="str">
        <f>"3.1.3.00.00- MATERIAIS"</f>
        <v>3.1.3.00.00- MATERIAIS</v>
      </c>
      <c r="B247" s="10">
        <v>0</v>
      </c>
      <c r="C247" s="10">
        <v>68226.7</v>
      </c>
      <c r="D247" s="10">
        <v>68226.7</v>
      </c>
    </row>
    <row r="248" spans="1:4" x14ac:dyDescent="0.25">
      <c r="A248" s="2" t="str">
        <f>"3.1.3.00.08- Material seguranca e uniformes"</f>
        <v>3.1.3.00.08- Material seguranca e uniformes</v>
      </c>
      <c r="B248" s="10">
        <v>0</v>
      </c>
      <c r="C248" s="10">
        <v>218.05</v>
      </c>
      <c r="D248" s="10">
        <v>218.05</v>
      </c>
    </row>
    <row r="249" spans="1:4" x14ac:dyDescent="0.25">
      <c r="A249" s="2" t="str">
        <f>"3.1.3.00.09- Material limp/conserv/copa/cozin"</f>
        <v>3.1.3.00.09- Material limp/conserv/copa/cozin</v>
      </c>
      <c r="B249" s="10">
        <v>0</v>
      </c>
      <c r="C249" s="10">
        <v>15700.18</v>
      </c>
      <c r="D249" s="10">
        <v>15700.18</v>
      </c>
    </row>
    <row r="250" spans="1:4" x14ac:dyDescent="0.25">
      <c r="A250" s="2" t="str">
        <f>"3.1.3.00.10- Impressos e material de escritorio"</f>
        <v>3.1.3.00.10- Impressos e material de escritorio</v>
      </c>
      <c r="B250" s="10">
        <v>0</v>
      </c>
      <c r="C250" s="10">
        <v>15747.9</v>
      </c>
      <c r="D250" s="10">
        <v>15747.9</v>
      </c>
    </row>
    <row r="251" spans="1:4" x14ac:dyDescent="0.25">
      <c r="A251" s="2" t="str">
        <f>"3.1.3.00.11- Materiais manut. inst. prediais"</f>
        <v>3.1.3.00.11- Materiais manut. inst. prediais</v>
      </c>
      <c r="B251" s="10">
        <v>0</v>
      </c>
      <c r="C251" s="10">
        <v>7719.87</v>
      </c>
      <c r="D251" s="10">
        <v>7719.87</v>
      </c>
    </row>
    <row r="252" spans="1:4" x14ac:dyDescent="0.25">
      <c r="A252" s="2" t="str">
        <f>"3.1.3.00.12- Carnes estacionamento rotativo"</f>
        <v>3.1.3.00.12- Carnes estacionamento rotativo</v>
      </c>
      <c r="B252" s="10">
        <v>0</v>
      </c>
      <c r="C252" s="10">
        <v>26191.16</v>
      </c>
      <c r="D252" s="10">
        <v>26191.16</v>
      </c>
    </row>
    <row r="253" spans="1:4" x14ac:dyDescent="0.25">
      <c r="A253" s="2" t="str">
        <f>"3.1.3.00.15- Materiais e supriment informatic"</f>
        <v>3.1.3.00.15- Materiais e supriment informatic</v>
      </c>
      <c r="B253" s="10">
        <v>0</v>
      </c>
      <c r="C253" s="10">
        <v>2649.54</v>
      </c>
      <c r="D253" s="10">
        <v>2649.54</v>
      </c>
    </row>
    <row r="254" spans="1:4" x14ac:dyDescent="0.25">
      <c r="A254" s="2" t="str">
        <f>"3.1.4.00.00- SERVICOS PRESTADOS POR TERCEIROS"</f>
        <v>3.1.4.00.00- SERVICOS PRESTADOS POR TERCEIROS</v>
      </c>
      <c r="B254" s="10">
        <v>0</v>
      </c>
      <c r="C254" s="10">
        <v>1571316.95</v>
      </c>
      <c r="D254" s="10">
        <v>1571316.95</v>
      </c>
    </row>
    <row r="255" spans="1:4" x14ac:dyDescent="0.25">
      <c r="A255" s="2" t="str">
        <f>"3.1.4.00.03- Locacao de equipamentos"</f>
        <v>3.1.4.00.03- Locacao de equipamentos</v>
      </c>
      <c r="B255" s="10">
        <v>0</v>
      </c>
      <c r="C255" s="10">
        <v>6705.7</v>
      </c>
      <c r="D255" s="10">
        <v>6705.7</v>
      </c>
    </row>
    <row r="256" spans="1:4" x14ac:dyDescent="0.25">
      <c r="A256" s="2" t="str">
        <f>"3.1.4.00.08- Servicos de auditoria"</f>
        <v>3.1.4.00.08- Servicos de auditoria</v>
      </c>
      <c r="B256" s="10">
        <v>0</v>
      </c>
      <c r="C256" s="10">
        <v>4083.32</v>
      </c>
      <c r="D256" s="10">
        <v>4083.32</v>
      </c>
    </row>
    <row r="257" spans="1:4" x14ac:dyDescent="0.25">
      <c r="A257" s="2" t="str">
        <f>"3.1.4.00.10- Mao de obra contratada"</f>
        <v>3.1.4.00.10- Mao de obra contratada</v>
      </c>
      <c r="B257" s="10">
        <v>0</v>
      </c>
      <c r="C257" s="10">
        <v>58098.8</v>
      </c>
      <c r="D257" s="10">
        <v>58098.8</v>
      </c>
    </row>
    <row r="258" spans="1:4" x14ac:dyDescent="0.25">
      <c r="A258" s="2" t="str">
        <f>"3.1.4.00.13- Publicidade e divulgacao"</f>
        <v>3.1.4.00.13- Publicidade e divulgacao</v>
      </c>
      <c r="B258" s="10">
        <v>0</v>
      </c>
      <c r="C258" s="10">
        <v>14698</v>
      </c>
      <c r="D258" s="10">
        <v>14698</v>
      </c>
    </row>
    <row r="259" spans="1:4" x14ac:dyDescent="0.25">
      <c r="A259" s="2" t="str">
        <f>"3.1.4.00.14- Informatica-serv. e/ou locacao"</f>
        <v>3.1.4.00.14- Informatica-serv. e/ou locacao</v>
      </c>
      <c r="B259" s="10">
        <v>0</v>
      </c>
      <c r="C259" s="10">
        <v>40462.36</v>
      </c>
      <c r="D259" s="10">
        <v>40462.36</v>
      </c>
    </row>
    <row r="260" spans="1:4" x14ac:dyDescent="0.25">
      <c r="A260" s="2" t="str">
        <f>"3.1.4.00.15- Outros serv. prestados - PF"</f>
        <v>3.1.4.00.15- Outros serv. prestados - PF</v>
      </c>
      <c r="B260" s="10">
        <v>0</v>
      </c>
      <c r="C260" s="10">
        <v>5712.06</v>
      </c>
      <c r="D260" s="10">
        <v>5712.06</v>
      </c>
    </row>
    <row r="261" spans="1:4" x14ac:dyDescent="0.25">
      <c r="A261" s="2" t="str">
        <f>"3.1.4.00.16- Outros serv. Prestados - PJ"</f>
        <v>3.1.4.00.16- Outros serv. Prestados - PJ</v>
      </c>
      <c r="B261" s="10">
        <v>0</v>
      </c>
      <c r="C261" s="10">
        <v>15530.71</v>
      </c>
      <c r="D261" s="10">
        <v>15530.71</v>
      </c>
    </row>
    <row r="262" spans="1:4" x14ac:dyDescent="0.25">
      <c r="A262" s="2" t="str">
        <f>"3.1.4.00.17- Servicos postais"</f>
        <v>3.1.4.00.17- Servicos postais</v>
      </c>
      <c r="B262" s="10">
        <v>0</v>
      </c>
      <c r="C262" s="10">
        <v>6843.82</v>
      </c>
      <c r="D262" s="10">
        <v>6843.82</v>
      </c>
    </row>
    <row r="263" spans="1:4" x14ac:dyDescent="0.25">
      <c r="A263" s="2" t="str">
        <f>"3.1.4.00.18- INSS s/servicos de terceiros"</f>
        <v>3.1.4.00.18- INSS s/servicos de terceiros</v>
      </c>
      <c r="B263" s="10">
        <v>0</v>
      </c>
      <c r="C263" s="10">
        <v>2041.81</v>
      </c>
      <c r="D263" s="10">
        <v>2041.81</v>
      </c>
    </row>
    <row r="264" spans="1:4" x14ac:dyDescent="0.25">
      <c r="A264" s="2" t="str">
        <f>"3.1.4.00.19- Manut. imoveis/instal/equip.oper"</f>
        <v>3.1.4.00.19- Manut. imoveis/instal/equip.oper</v>
      </c>
      <c r="B264" s="10">
        <v>0</v>
      </c>
      <c r="C264" s="10">
        <v>26822.400000000001</v>
      </c>
      <c r="D264" s="10">
        <v>26822.400000000001</v>
      </c>
    </row>
    <row r="265" spans="1:4" x14ac:dyDescent="0.25">
      <c r="A265" s="2" t="str">
        <f>"3.1.4.00.21- Manut. moveis e equip. Escritorio"</f>
        <v>3.1.4.00.21- Manut. moveis e equip. Escritorio</v>
      </c>
      <c r="B265" s="10">
        <v>0</v>
      </c>
      <c r="C265" s="10">
        <v>1650.55</v>
      </c>
      <c r="D265" s="10">
        <v>1650.55</v>
      </c>
    </row>
    <row r="266" spans="1:4" x14ac:dyDescent="0.25">
      <c r="A266" s="2" t="str">
        <f>"3.1.4.00.24- Loc.serv.mensageiro"</f>
        <v>3.1.4.00.24- Loc.serv.mensageiro</v>
      </c>
      <c r="B266" s="10">
        <v>0</v>
      </c>
      <c r="C266" s="10">
        <v>6258.47</v>
      </c>
      <c r="D266" s="10">
        <v>6258.47</v>
      </c>
    </row>
    <row r="267" spans="1:4" x14ac:dyDescent="0.25">
      <c r="A267" s="2" t="str">
        <f>"3.1.4.00.26- Serv.limp.conserv."</f>
        <v>3.1.4.00.26- Serv.limp.conserv.</v>
      </c>
      <c r="B267" s="10">
        <v>0</v>
      </c>
      <c r="C267" s="10">
        <v>1387544.18</v>
      </c>
      <c r="D267" s="10">
        <v>1387544.18</v>
      </c>
    </row>
    <row r="268" spans="1:4" x14ac:dyDescent="0.25">
      <c r="A268" s="2" t="str">
        <f>"3.1.4.00.34- Comissao s/venda rotativo"</f>
        <v>3.1.4.00.34- Comissao s/venda rotativo</v>
      </c>
      <c r="B268" s="10">
        <v>0</v>
      </c>
      <c r="C268" s="10">
        <v>65234.2</v>
      </c>
      <c r="D268" s="10">
        <v>65234.2</v>
      </c>
    </row>
    <row r="269" spans="1:4" x14ac:dyDescent="0.25">
      <c r="A269" s="2" t="str">
        <f>"3.1.4.00.36- (-) Desconto ISSQN conf Lei 9145 serv. P"</f>
        <v>3.1.4.00.36- (-) Desconto ISSQN conf Lei 9145 serv. P</v>
      </c>
      <c r="B269" s="10">
        <v>0</v>
      </c>
      <c r="C269" s="10">
        <v>-70369.429999999993</v>
      </c>
      <c r="D269" s="10">
        <v>-70369.429999999993</v>
      </c>
    </row>
    <row r="270" spans="1:4" x14ac:dyDescent="0.25">
      <c r="A270" s="2" t="str">
        <f>"3.1.5.00.00- TARIFAS PUBLICAS"</f>
        <v>3.1.5.00.00- TARIFAS PUBLICAS</v>
      </c>
      <c r="B270" s="10">
        <v>0</v>
      </c>
      <c r="C270" s="10">
        <v>123123.94</v>
      </c>
      <c r="D270" s="10">
        <v>123123.94</v>
      </c>
    </row>
    <row r="271" spans="1:4" x14ac:dyDescent="0.25">
      <c r="A271" s="2" t="str">
        <f>"3.1.5.00.02- Energia eletrica"</f>
        <v>3.1.5.00.02- Energia eletrica</v>
      </c>
      <c r="B271" s="10">
        <v>0</v>
      </c>
      <c r="C271" s="10">
        <v>93722.99</v>
      </c>
      <c r="D271" s="10">
        <v>93722.99</v>
      </c>
    </row>
    <row r="272" spans="1:4" x14ac:dyDescent="0.25">
      <c r="A272" s="2" t="str">
        <f>"3.1.5.00.03- Telefone"</f>
        <v>3.1.5.00.03- Telefone</v>
      </c>
      <c r="B272" s="10">
        <v>0</v>
      </c>
      <c r="C272" s="10">
        <v>29400.95</v>
      </c>
      <c r="D272" s="10">
        <v>29400.95</v>
      </c>
    </row>
    <row r="273" spans="1:4" x14ac:dyDescent="0.25">
      <c r="A273" s="2" t="str">
        <f>"3.1.6.00.00- DESPESAS TRIBUTARIAS"</f>
        <v>3.1.6.00.00- DESPESAS TRIBUTARIAS</v>
      </c>
      <c r="B273" s="10">
        <v>0</v>
      </c>
      <c r="C273" s="10">
        <v>286079.43</v>
      </c>
      <c r="D273" s="10">
        <v>286079.43</v>
      </c>
    </row>
    <row r="274" spans="1:4" x14ac:dyDescent="0.25">
      <c r="A274" s="2" t="str">
        <f>"3.1.6.00.03- IOF"</f>
        <v>3.1.6.00.03- IOF</v>
      </c>
      <c r="B274" s="10">
        <v>0</v>
      </c>
      <c r="C274" s="10">
        <v>1024.8800000000001</v>
      </c>
      <c r="D274" s="10">
        <v>1024.8800000000001</v>
      </c>
    </row>
    <row r="275" spans="1:4" x14ac:dyDescent="0.25">
      <c r="A275" s="2" t="str">
        <f>"3.1.6.00.06- PIS"</f>
        <v>3.1.6.00.06- PIS</v>
      </c>
      <c r="B275" s="10">
        <v>0</v>
      </c>
      <c r="C275" s="10">
        <v>38888.01</v>
      </c>
      <c r="D275" s="10">
        <v>38888.01</v>
      </c>
    </row>
    <row r="276" spans="1:4" x14ac:dyDescent="0.25">
      <c r="A276" s="2" t="str">
        <f>"3.1.6.00.07- COFINS"</f>
        <v>3.1.6.00.07- COFINS</v>
      </c>
      <c r="B276" s="10">
        <v>0</v>
      </c>
      <c r="C276" s="10">
        <v>179120.55</v>
      </c>
      <c r="D276" s="10">
        <v>179120.55</v>
      </c>
    </row>
    <row r="277" spans="1:4" x14ac:dyDescent="0.25">
      <c r="A277" s="2" t="str">
        <f>"3.1.6.00.10- ISS s/faturamento"</f>
        <v>3.1.6.00.10- ISS s/faturamento</v>
      </c>
      <c r="B277" s="10">
        <v>0</v>
      </c>
      <c r="C277" s="10">
        <v>2233.96</v>
      </c>
      <c r="D277" s="10">
        <v>2233.96</v>
      </c>
    </row>
    <row r="278" spans="1:4" x14ac:dyDescent="0.25">
      <c r="A278" s="2" t="str">
        <f>"3.1.6.00.14- Contrib.entid.classe"</f>
        <v>3.1.6.00.14- Contrib.entid.classe</v>
      </c>
      <c r="B278" s="10">
        <v>0</v>
      </c>
      <c r="C278" s="10">
        <v>63258.61</v>
      </c>
      <c r="D278" s="10">
        <v>63258.61</v>
      </c>
    </row>
    <row r="279" spans="1:4" x14ac:dyDescent="0.25">
      <c r="A279" s="2" t="str">
        <f>"3.1.6.00.15- INSS Serv.terceiros"</f>
        <v>3.1.6.00.15- INSS Serv.terceiros</v>
      </c>
      <c r="B279" s="10">
        <v>0</v>
      </c>
      <c r="C279" s="10">
        <v>1142.4100000000001</v>
      </c>
      <c r="D279" s="10">
        <v>1142.4100000000001</v>
      </c>
    </row>
    <row r="280" spans="1:4" x14ac:dyDescent="0.25">
      <c r="A280" s="2" t="str">
        <f>"3.1.6.00.17- PIS s/ receitas financeiras"</f>
        <v>3.1.6.00.17- PIS s/ receitas financeiras</v>
      </c>
      <c r="B280" s="10">
        <v>0</v>
      </c>
      <c r="C280" s="10">
        <v>57.45</v>
      </c>
      <c r="D280" s="10">
        <v>57.45</v>
      </c>
    </row>
    <row r="281" spans="1:4" x14ac:dyDescent="0.25">
      <c r="A281" s="2" t="str">
        <f>"3.1.6.00.18- Cofins s/ receitas financeiras"</f>
        <v>3.1.6.00.18- Cofins s/ receitas financeiras</v>
      </c>
      <c r="B281" s="10">
        <v>0</v>
      </c>
      <c r="C281" s="10">
        <v>353.56</v>
      </c>
      <c r="D281" s="10">
        <v>353.56</v>
      </c>
    </row>
    <row r="282" spans="1:4" x14ac:dyDescent="0.25">
      <c r="A282" s="2" t="str">
        <f>"3.1.7.00.00- DESPESAS FINANCEIRAS"</f>
        <v>3.1.7.00.00- DESPESAS FINANCEIRAS</v>
      </c>
      <c r="B282" s="10">
        <v>0</v>
      </c>
      <c r="C282" s="10">
        <v>3619.75</v>
      </c>
      <c r="D282" s="10">
        <v>3619.75</v>
      </c>
    </row>
    <row r="283" spans="1:4" x14ac:dyDescent="0.25">
      <c r="A283" s="2" t="str">
        <f>"3.1.7.01.02- Despesas bancarias"</f>
        <v>3.1.7.01.02- Despesas bancarias</v>
      </c>
      <c r="B283" s="10">
        <v>0</v>
      </c>
      <c r="C283" s="10">
        <v>3619.75</v>
      </c>
      <c r="D283" s="10">
        <v>3619.75</v>
      </c>
    </row>
    <row r="284" spans="1:4" x14ac:dyDescent="0.25">
      <c r="A284" s="2" t="str">
        <f>"3.1.8.00.00- OUTRAS DESPESAS"</f>
        <v>3.1.8.00.00- OUTRAS DESPESAS</v>
      </c>
      <c r="B284" s="10">
        <v>0</v>
      </c>
      <c r="C284" s="10">
        <v>94681.24</v>
      </c>
      <c r="D284" s="10">
        <v>94681.24</v>
      </c>
    </row>
    <row r="285" spans="1:4" x14ac:dyDescent="0.25">
      <c r="A285" s="2" t="str">
        <f>"3.1.8.00.05- Depreciacao/amort"</f>
        <v>3.1.8.00.05- Depreciacao/amort</v>
      </c>
      <c r="B285" s="10">
        <v>0</v>
      </c>
      <c r="C285" s="10">
        <v>24208.29</v>
      </c>
      <c r="D285" s="10">
        <v>24208.29</v>
      </c>
    </row>
    <row r="286" spans="1:4" x14ac:dyDescent="0.25">
      <c r="A286" s="2" t="str">
        <f>"3.1.8.00.06- Seguros bens moveis e imoveis"</f>
        <v>3.1.8.00.06- Seguros bens moveis e imoveis</v>
      </c>
      <c r="B286" s="10">
        <v>0</v>
      </c>
      <c r="C286" s="10">
        <v>801.79</v>
      </c>
      <c r="D286" s="10">
        <v>801.79</v>
      </c>
    </row>
    <row r="287" spans="1:4" x14ac:dyDescent="0.25">
      <c r="A287" s="2" t="str">
        <f>"3.1.8.00.08- Alugueis e condominio"</f>
        <v>3.1.8.00.08- Alugueis e condominio</v>
      </c>
      <c r="B287" s="10">
        <v>0</v>
      </c>
      <c r="C287" s="10">
        <v>5071.8100000000004</v>
      </c>
      <c r="D287" s="10">
        <v>5071.8100000000004</v>
      </c>
    </row>
    <row r="288" spans="1:4" x14ac:dyDescent="0.25">
      <c r="A288" s="2" t="str">
        <f>"3.1.8.00.18- Provisao para perdas"</f>
        <v>3.1.8.00.18- Provisao para perdas</v>
      </c>
      <c r="B288" s="10">
        <v>0</v>
      </c>
      <c r="C288" s="10">
        <v>55983.58</v>
      </c>
      <c r="D288" s="10">
        <v>55983.58</v>
      </c>
    </row>
    <row r="289" spans="1:4" x14ac:dyDescent="0.25">
      <c r="A289" s="2" t="str">
        <f>"3.1.8.00.23- Custas/Despesas Judiciais"</f>
        <v>3.1.8.00.23- Custas/Despesas Judiciais</v>
      </c>
      <c r="B289" s="10">
        <v>0</v>
      </c>
      <c r="C289" s="10">
        <v>8615.77</v>
      </c>
      <c r="D289" s="10">
        <v>8615.77</v>
      </c>
    </row>
    <row r="290" spans="1:4" x14ac:dyDescent="0.25">
      <c r="A290" s="2" t="str">
        <f>""</f>
        <v/>
      </c>
      <c r="B290" s="3" t="str">
        <f>""</f>
        <v/>
      </c>
      <c r="C290" s="3" t="str">
        <f>""</f>
        <v/>
      </c>
      <c r="D290" s="3" t="str">
        <f>""</f>
        <v/>
      </c>
    </row>
    <row r="291" spans="1:4" x14ac:dyDescent="0.25">
      <c r="A291" s="2" t="str">
        <f>""</f>
        <v/>
      </c>
      <c r="B291" s="3" t="str">
        <f>""</f>
        <v/>
      </c>
      <c r="C291" s="3" t="str">
        <f>""</f>
        <v/>
      </c>
      <c r="D291" s="3" t="str">
        <f>""</f>
        <v/>
      </c>
    </row>
    <row r="292" spans="1:4" x14ac:dyDescent="0.25">
      <c r="A292" s="2" t="str">
        <f>""</f>
        <v/>
      </c>
      <c r="B292" s="3" t="str">
        <f>""</f>
        <v/>
      </c>
      <c r="C292" s="3" t="str">
        <f>""</f>
        <v/>
      </c>
      <c r="D292" s="3" t="str">
        <f>""</f>
        <v/>
      </c>
    </row>
    <row r="293" spans="1:4" x14ac:dyDescent="0.25">
      <c r="A293" s="2" t="str">
        <f>""</f>
        <v/>
      </c>
      <c r="B293" s="3" t="str">
        <f>""</f>
        <v/>
      </c>
      <c r="C293" s="3" t="str">
        <f>""</f>
        <v/>
      </c>
      <c r="D293" s="3" t="str">
        <f>""</f>
        <v/>
      </c>
    </row>
    <row r="294" spans="1:4" x14ac:dyDescent="0.25">
      <c r="A294" s="2" t="str">
        <f>""</f>
        <v/>
      </c>
      <c r="B294" s="3" t="str">
        <f>""</f>
        <v/>
      </c>
      <c r="C294" s="3" t="str">
        <f>""</f>
        <v/>
      </c>
      <c r="D294" s="3" t="str">
        <f>""</f>
        <v/>
      </c>
    </row>
    <row r="295" spans="1:4" x14ac:dyDescent="0.25">
      <c r="A295" s="2" t="str">
        <f>""</f>
        <v/>
      </c>
      <c r="B295" s="3" t="str">
        <f>""</f>
        <v/>
      </c>
      <c r="C295" s="3" t="str">
        <f>""</f>
        <v/>
      </c>
      <c r="D295" s="3" t="str">
        <f>""</f>
        <v/>
      </c>
    </row>
    <row r="296" spans="1:4" x14ac:dyDescent="0.25">
      <c r="A296" s="2" t="str">
        <f>""</f>
        <v/>
      </c>
      <c r="B296" s="3" t="str">
        <f>""</f>
        <v/>
      </c>
      <c r="C296" s="3" t="str">
        <f>""</f>
        <v/>
      </c>
      <c r="D296" s="3" t="str">
        <f>""</f>
        <v/>
      </c>
    </row>
    <row r="297" spans="1:4" x14ac:dyDescent="0.25">
      <c r="A297" s="2" t="str">
        <f>""</f>
        <v/>
      </c>
      <c r="B297" s="3" t="str">
        <f>""</f>
        <v/>
      </c>
      <c r="C297" s="3" t="str">
        <f>""</f>
        <v/>
      </c>
      <c r="D297" s="3" t="str">
        <f>""</f>
        <v/>
      </c>
    </row>
    <row r="298" spans="1:4" x14ac:dyDescent="0.25">
      <c r="A298" s="2" t="str">
        <f>""</f>
        <v/>
      </c>
      <c r="B298" s="3" t="str">
        <f>""</f>
        <v/>
      </c>
      <c r="C298" s="3" t="str">
        <f>""</f>
        <v/>
      </c>
      <c r="D298" s="3" t="str">
        <f>""</f>
        <v/>
      </c>
    </row>
    <row r="299" spans="1:4" x14ac:dyDescent="0.25">
      <c r="A299" s="2" t="str">
        <f>""</f>
        <v/>
      </c>
      <c r="B299" s="3" t="str">
        <f>""</f>
        <v/>
      </c>
      <c r="C299" s="3" t="str">
        <f>""</f>
        <v/>
      </c>
      <c r="D299" s="3" t="str">
        <f>""</f>
        <v/>
      </c>
    </row>
    <row r="300" spans="1:4" x14ac:dyDescent="0.25">
      <c r="A300" s="2" t="str">
        <f>"RECEITAS"</f>
        <v>RECEITAS</v>
      </c>
      <c r="B300" s="3" t="str">
        <f>""</f>
        <v/>
      </c>
      <c r="C300" s="3" t="str">
        <f>""</f>
        <v/>
      </c>
      <c r="D300" s="3" t="str">
        <f>""</f>
        <v/>
      </c>
    </row>
    <row r="301" spans="1:4" x14ac:dyDescent="0.25">
      <c r="A301" s="2" t="str">
        <f>"4.0.0.00.00- RECEITAS"</f>
        <v>4.0.0.00.00- RECEITAS</v>
      </c>
      <c r="B301" s="10">
        <v>0</v>
      </c>
      <c r="C301" s="10">
        <v>9607778.2799999993</v>
      </c>
      <c r="D301" s="10">
        <v>9607778.2799999993</v>
      </c>
    </row>
    <row r="302" spans="1:4" x14ac:dyDescent="0.25">
      <c r="A302" s="2" t="str">
        <f>"4.1.0.00.00- RECEITAS BHTRANS"</f>
        <v>4.1.0.00.00- RECEITAS BHTRANS</v>
      </c>
      <c r="B302" s="10">
        <v>0</v>
      </c>
      <c r="C302" s="10">
        <v>9446639.75</v>
      </c>
      <c r="D302" s="10">
        <v>9446639.75</v>
      </c>
    </row>
    <row r="303" spans="1:4" x14ac:dyDescent="0.25">
      <c r="A303" s="2" t="str">
        <f>"4.1.1.00.00- RECEITAS OPERACIONAIS"</f>
        <v>4.1.1.00.00- RECEITAS OPERACIONAIS</v>
      </c>
      <c r="B303" s="10">
        <v>0</v>
      </c>
      <c r="C303" s="10">
        <v>9394752.1099999994</v>
      </c>
      <c r="D303" s="10">
        <v>9394752.1099999994</v>
      </c>
    </row>
    <row r="304" spans="1:4" x14ac:dyDescent="0.25">
      <c r="A304" s="2" t="str">
        <f>"4.1.1.00.05- Midia taxi, escolar e suplementar"</f>
        <v>4.1.1.00.05- Midia taxi, escolar e suplementar</v>
      </c>
      <c r="B304" s="10">
        <v>0</v>
      </c>
      <c r="C304" s="10">
        <v>4190.03</v>
      </c>
      <c r="D304" s="10">
        <v>4190.03</v>
      </c>
    </row>
    <row r="305" spans="1:4" x14ac:dyDescent="0.25">
      <c r="A305" s="2" t="str">
        <f>"4.1.1.00.06- Midia em onibus"</f>
        <v>4.1.1.00.06- Midia em onibus</v>
      </c>
      <c r="B305" s="10">
        <v>0</v>
      </c>
      <c r="C305" s="10">
        <v>55024.57</v>
      </c>
      <c r="D305" s="10">
        <v>55024.57</v>
      </c>
    </row>
    <row r="306" spans="1:4" x14ac:dyDescent="0.25">
      <c r="A306" s="2" t="str">
        <f>"4.1.1.00.07- Midias diversas"</f>
        <v>4.1.1.00.07- Midias diversas</v>
      </c>
      <c r="B306" s="10">
        <v>0</v>
      </c>
      <c r="C306" s="10">
        <v>15251.34</v>
      </c>
      <c r="D306" s="10">
        <v>15251.34</v>
      </c>
    </row>
    <row r="307" spans="1:4" x14ac:dyDescent="0.25">
      <c r="A307" s="2" t="str">
        <f>"4.1.1.00.08- Estacionamento Rotativo"</f>
        <v>4.1.1.00.08- Estacionamento Rotativo</v>
      </c>
      <c r="B307" s="10">
        <v>0</v>
      </c>
      <c r="C307" s="10">
        <v>1331462.7</v>
      </c>
      <c r="D307" s="10">
        <v>1331462.7</v>
      </c>
    </row>
    <row r="308" spans="1:4" x14ac:dyDescent="0.25">
      <c r="A308" s="2" t="str">
        <f>"4.1.1.00.10- Transf. financeira PBH"</f>
        <v>4.1.1.00.10- Transf. financeira PBH</v>
      </c>
      <c r="B308" s="10">
        <v>0</v>
      </c>
      <c r="C308" s="10">
        <v>7242090.0099999998</v>
      </c>
      <c r="D308" s="10">
        <v>7242090.0099999998</v>
      </c>
    </row>
    <row r="309" spans="1:4" x14ac:dyDescent="0.25">
      <c r="A309" s="2" t="str">
        <f>"4.1.1.00.16- Multas transporte coletivo"</f>
        <v>4.1.1.00.16- Multas transporte coletivo</v>
      </c>
      <c r="B309" s="10">
        <v>0</v>
      </c>
      <c r="C309" s="10">
        <v>531875.16</v>
      </c>
      <c r="D309" s="10">
        <v>531875.16</v>
      </c>
    </row>
    <row r="310" spans="1:4" x14ac:dyDescent="0.25">
      <c r="A310" s="2" t="str">
        <f>"4.1.1.00.17- Multas transporte publico"</f>
        <v>4.1.1.00.17- Multas transporte publico</v>
      </c>
      <c r="B310" s="10">
        <v>0</v>
      </c>
      <c r="C310" s="10">
        <v>132856.57999999999</v>
      </c>
      <c r="D310" s="10">
        <v>132856.57999999999</v>
      </c>
    </row>
    <row r="311" spans="1:4" x14ac:dyDescent="0.25">
      <c r="A311" s="2" t="str">
        <f>"4.1.1.00.19- Subconcessao frotas de taxi"</f>
        <v>4.1.1.00.19- Subconcessao frotas de taxi</v>
      </c>
      <c r="B311" s="10">
        <v>0</v>
      </c>
      <c r="C311" s="10">
        <v>82001.72</v>
      </c>
      <c r="D311" s="10">
        <v>82001.72</v>
      </c>
    </row>
    <row r="312" spans="1:4" x14ac:dyDescent="0.25">
      <c r="A312" s="2" t="str">
        <f>"4.1.2.00.00- RECEITAS ESTACAO DIAMANTE"</f>
        <v>4.1.2.00.00- RECEITAS ESTACAO DIAMANTE</v>
      </c>
      <c r="B312" s="10">
        <v>0</v>
      </c>
      <c r="C312" s="10">
        <v>25491.74</v>
      </c>
      <c r="D312" s="10">
        <v>25491.74</v>
      </c>
    </row>
    <row r="313" spans="1:4" x14ac:dyDescent="0.25">
      <c r="A313" s="2" t="str">
        <f>"4.1.2.00.01- Alugueis"</f>
        <v>4.1.2.00.01- Alugueis</v>
      </c>
      <c r="B313" s="10">
        <v>0</v>
      </c>
      <c r="C313" s="10">
        <v>25491.74</v>
      </c>
      <c r="D313" s="10">
        <v>25491.74</v>
      </c>
    </row>
    <row r="314" spans="1:4" x14ac:dyDescent="0.25">
      <c r="A314" s="2" t="str">
        <f>"4.1.3.00.00- RECEITAS ESTACAO VENDA NOVA"</f>
        <v>4.1.3.00.00- RECEITAS ESTACAO VENDA NOVA</v>
      </c>
      <c r="B314" s="10">
        <v>0</v>
      </c>
      <c r="C314" s="10">
        <v>26395.9</v>
      </c>
      <c r="D314" s="10">
        <v>26395.9</v>
      </c>
    </row>
    <row r="315" spans="1:4" x14ac:dyDescent="0.25">
      <c r="A315" s="2" t="str">
        <f>"4.1.3.00.01- Alugueis"</f>
        <v>4.1.3.00.01- Alugueis</v>
      </c>
      <c r="B315" s="10">
        <v>0</v>
      </c>
      <c r="C315" s="10">
        <v>26395.9</v>
      </c>
      <c r="D315" s="10">
        <v>26395.9</v>
      </c>
    </row>
    <row r="316" spans="1:4" x14ac:dyDescent="0.25">
      <c r="A316" s="2" t="str">
        <f>"4.2.0.00.00- RECEITAS FINANCEIRAS"</f>
        <v>4.2.0.00.00- RECEITAS FINANCEIRAS</v>
      </c>
      <c r="B316" s="10">
        <v>0</v>
      </c>
      <c r="C316" s="10">
        <v>8838.92</v>
      </c>
      <c r="D316" s="10">
        <v>8838.92</v>
      </c>
    </row>
    <row r="317" spans="1:4" x14ac:dyDescent="0.25">
      <c r="A317" s="2" t="str">
        <f>"4.2.1.00.00- RECEITAS FINANCEIRAS"</f>
        <v>4.2.1.00.00- RECEITAS FINANCEIRAS</v>
      </c>
      <c r="B317" s="10">
        <v>0</v>
      </c>
      <c r="C317" s="10">
        <v>8722.73</v>
      </c>
      <c r="D317" s="10">
        <v>8722.73</v>
      </c>
    </row>
    <row r="318" spans="1:4" x14ac:dyDescent="0.25">
      <c r="A318" s="2" t="str">
        <f>"4.2.1.00.01- Rendimentos aplic. Financeira"</f>
        <v>4.2.1.00.01- Rendimentos aplic. Financeira</v>
      </c>
      <c r="B318" s="10">
        <v>0</v>
      </c>
      <c r="C318" s="10">
        <v>8208.33</v>
      </c>
      <c r="D318" s="10">
        <v>8208.33</v>
      </c>
    </row>
    <row r="319" spans="1:4" x14ac:dyDescent="0.25">
      <c r="A319" s="2" t="str">
        <f>"4.2.1.00.02- Juros ativos"</f>
        <v>4.2.1.00.02- Juros ativos</v>
      </c>
      <c r="B319" s="10">
        <v>0</v>
      </c>
      <c r="C319" s="10">
        <v>514.4</v>
      </c>
      <c r="D319" s="10">
        <v>514.4</v>
      </c>
    </row>
    <row r="320" spans="1:4" x14ac:dyDescent="0.25">
      <c r="A320" s="2" t="str">
        <f>"4.2.2.00.00- VARIACOES MONETARIAS ATIVAS"</f>
        <v>4.2.2.00.00- VARIACOES MONETARIAS ATIVAS</v>
      </c>
      <c r="B320" s="10">
        <v>0</v>
      </c>
      <c r="C320" s="10">
        <v>116.19</v>
      </c>
      <c r="D320" s="10">
        <v>116.19</v>
      </c>
    </row>
    <row r="321" spans="1:4" x14ac:dyDescent="0.25">
      <c r="A321" s="2" t="str">
        <f>"4.2.2.00.01- Variações monetárias ativas"</f>
        <v>4.2.2.00.01- Variações monetárias ativas</v>
      </c>
      <c r="B321" s="10">
        <v>0</v>
      </c>
      <c r="C321" s="10">
        <v>116.19</v>
      </c>
      <c r="D321" s="10">
        <v>116.19</v>
      </c>
    </row>
    <row r="322" spans="1:4" x14ac:dyDescent="0.25">
      <c r="A322" s="2" t="str">
        <f>"4.3.0.00.00- OUTRAS RECEITAS"</f>
        <v>4.3.0.00.00- OUTRAS RECEITAS</v>
      </c>
      <c r="B322" s="10">
        <v>0</v>
      </c>
      <c r="C322" s="10">
        <v>152299.60999999999</v>
      </c>
      <c r="D322" s="10">
        <v>152299.60999999999</v>
      </c>
    </row>
    <row r="323" spans="1:4" x14ac:dyDescent="0.25">
      <c r="A323" s="2" t="str">
        <f>"4.3.1.00.00- OUTRAS RECEITAS"</f>
        <v>4.3.1.00.00- OUTRAS RECEITAS</v>
      </c>
      <c r="B323" s="10">
        <v>0</v>
      </c>
      <c r="C323" s="10">
        <v>152299.60999999999</v>
      </c>
      <c r="D323" s="10">
        <v>152299.60999999999</v>
      </c>
    </row>
    <row r="324" spans="1:4" x14ac:dyDescent="0.25">
      <c r="A324" s="2" t="str">
        <f>"4.3.1.00.04- Receitas Diversas"</f>
        <v>4.3.1.00.04- Receitas Diversas</v>
      </c>
      <c r="B324" s="10">
        <v>0</v>
      </c>
      <c r="C324" s="10">
        <v>66382.94</v>
      </c>
      <c r="D324" s="10">
        <v>66382.94</v>
      </c>
    </row>
    <row r="325" spans="1:4" x14ac:dyDescent="0.25">
      <c r="A325" s="2" t="str">
        <f>"4.3.1.00.07- Concessão de Abrigo de ônibus"</f>
        <v>4.3.1.00.07- Concessão de Abrigo de ônibus</v>
      </c>
      <c r="B325" s="10">
        <v>0</v>
      </c>
      <c r="C325" s="10">
        <v>85916.67</v>
      </c>
      <c r="D325" s="10">
        <v>85916.67</v>
      </c>
    </row>
    <row r="326" spans="1:4" x14ac:dyDescent="0.25">
      <c r="A326" s="2" t="str">
        <f>""</f>
        <v/>
      </c>
      <c r="B326" s="3" t="str">
        <f>""</f>
        <v/>
      </c>
      <c r="C326" s="3" t="str">
        <f>""</f>
        <v/>
      </c>
      <c r="D326" s="3" t="str">
        <f>""</f>
        <v/>
      </c>
    </row>
    <row r="327" spans="1:4" x14ac:dyDescent="0.25">
      <c r="A327" s="2" t="str">
        <f>""</f>
        <v/>
      </c>
      <c r="B327" s="3" t="str">
        <f>""</f>
        <v/>
      </c>
      <c r="C327" s="3" t="str">
        <f>""</f>
        <v/>
      </c>
      <c r="D327" s="3" t="str">
        <f>""</f>
        <v/>
      </c>
    </row>
    <row r="328" spans="1:4" x14ac:dyDescent="0.25">
      <c r="A328" s="2" t="str">
        <f>""</f>
        <v/>
      </c>
      <c r="B328" s="3" t="str">
        <f>""</f>
        <v/>
      </c>
      <c r="C328" s="3" t="str">
        <f>""</f>
        <v/>
      </c>
      <c r="D328" s="3" t="str">
        <f>""</f>
        <v/>
      </c>
    </row>
    <row r="329" spans="1:4" x14ac:dyDescent="0.25">
      <c r="A329" s="2" t="str">
        <f>""</f>
        <v/>
      </c>
      <c r="B329" s="3" t="str">
        <f>""</f>
        <v/>
      </c>
      <c r="C329" s="3" t="str">
        <f>""</f>
        <v/>
      </c>
      <c r="D329" s="3" t="str">
        <f>""</f>
        <v/>
      </c>
    </row>
    <row r="330" spans="1:4" x14ac:dyDescent="0.25">
      <c r="A330" s="2" t="str">
        <f>""</f>
        <v/>
      </c>
      <c r="B330" s="3" t="str">
        <f>""</f>
        <v/>
      </c>
      <c r="C330" s="3" t="str">
        <f>""</f>
        <v/>
      </c>
      <c r="D330" s="3" t="str">
        <f>""</f>
        <v/>
      </c>
    </row>
    <row r="331" spans="1:4" x14ac:dyDescent="0.25">
      <c r="A331" s="2" t="str">
        <f>""</f>
        <v/>
      </c>
      <c r="B331" s="3" t="str">
        <f>""</f>
        <v/>
      </c>
      <c r="C331" s="3" t="str">
        <f>""</f>
        <v/>
      </c>
      <c r="D331" s="3" t="str">
        <f>""</f>
        <v/>
      </c>
    </row>
    <row r="332" spans="1:4" x14ac:dyDescent="0.25">
      <c r="A332" s="2" t="str">
        <f>""</f>
        <v/>
      </c>
      <c r="B332" s="3" t="str">
        <f>""</f>
        <v/>
      </c>
      <c r="C332" s="3" t="str">
        <f>""</f>
        <v/>
      </c>
      <c r="D332" s="3" t="str">
        <f>""</f>
        <v/>
      </c>
    </row>
    <row r="333" spans="1:4" x14ac:dyDescent="0.25">
      <c r="A333" s="2" t="str">
        <f>""</f>
        <v/>
      </c>
      <c r="B333" s="3" t="str">
        <f>""</f>
        <v/>
      </c>
      <c r="C333" s="3" t="str">
        <f>""</f>
        <v/>
      </c>
      <c r="D333" s="3" t="str">
        <f>""</f>
        <v/>
      </c>
    </row>
    <row r="334" spans="1:4" x14ac:dyDescent="0.25">
      <c r="A334" s="2" t="str">
        <f>""</f>
        <v/>
      </c>
      <c r="B334" s="3" t="str">
        <f>""</f>
        <v/>
      </c>
      <c r="C334" s="3" t="str">
        <f>""</f>
        <v/>
      </c>
      <c r="D334" s="3" t="str">
        <f>""</f>
        <v/>
      </c>
    </row>
    <row r="335" spans="1:4" x14ac:dyDescent="0.25">
      <c r="A335" s="2" t="str">
        <f>""</f>
        <v/>
      </c>
      <c r="B335" s="3" t="str">
        <f>""</f>
        <v/>
      </c>
      <c r="C335" s="3" t="str">
        <f>""</f>
        <v/>
      </c>
      <c r="D335" s="3" t="str">
        <f>""</f>
        <v/>
      </c>
    </row>
    <row r="336" spans="1:4" x14ac:dyDescent="0.25">
      <c r="A336" s="2" t="str">
        <f>""</f>
        <v/>
      </c>
      <c r="B336" s="3" t="str">
        <f>""</f>
        <v/>
      </c>
      <c r="C336" s="3" t="str">
        <f>""</f>
        <v/>
      </c>
      <c r="D336" s="3" t="str">
        <f>""</f>
        <v/>
      </c>
    </row>
    <row r="337" spans="1:4" x14ac:dyDescent="0.25">
      <c r="A337" s="2" t="str">
        <f>""</f>
        <v/>
      </c>
      <c r="B337" s="3" t="str">
        <f>""</f>
        <v/>
      </c>
      <c r="C337" s="3" t="str">
        <f>""</f>
        <v/>
      </c>
      <c r="D337" s="3" t="str">
        <f>""</f>
        <v/>
      </c>
    </row>
    <row r="338" spans="1:4" x14ac:dyDescent="0.25">
      <c r="A338" s="2" t="str">
        <f>""</f>
        <v/>
      </c>
      <c r="B338" s="3" t="str">
        <f>""</f>
        <v/>
      </c>
      <c r="C338" s="3" t="str">
        <f>""</f>
        <v/>
      </c>
      <c r="D338" s="3" t="str">
        <f>""</f>
        <v/>
      </c>
    </row>
    <row r="339" spans="1:4" x14ac:dyDescent="0.25">
      <c r="A339" s="2" t="str">
        <f>""</f>
        <v/>
      </c>
      <c r="B339" s="3" t="str">
        <f>""</f>
        <v/>
      </c>
      <c r="C339" s="3" t="str">
        <f>""</f>
        <v/>
      </c>
      <c r="D339" s="3" t="str">
        <f>""</f>
        <v/>
      </c>
    </row>
    <row r="340" spans="1:4" x14ac:dyDescent="0.25">
      <c r="A340" s="2" t="str">
        <f>""</f>
        <v/>
      </c>
      <c r="B340" s="3" t="str">
        <f>""</f>
        <v/>
      </c>
      <c r="C340" s="3" t="str">
        <f>""</f>
        <v/>
      </c>
      <c r="D340" s="3" t="str">
        <f>""</f>
        <v/>
      </c>
    </row>
    <row r="341" spans="1:4" x14ac:dyDescent="0.25">
      <c r="A341" s="2" t="str">
        <f>""</f>
        <v/>
      </c>
      <c r="B341" s="3" t="str">
        <f>""</f>
        <v/>
      </c>
      <c r="C341" s="3" t="str">
        <f>""</f>
        <v/>
      </c>
      <c r="D341" s="3" t="str">
        <f>""</f>
        <v/>
      </c>
    </row>
    <row r="342" spans="1:4" x14ac:dyDescent="0.25">
      <c r="A342" s="2" t="str">
        <f>""</f>
        <v/>
      </c>
      <c r="B342" s="3" t="str">
        <f>""</f>
        <v/>
      </c>
      <c r="C342" s="3" t="str">
        <f>""</f>
        <v/>
      </c>
      <c r="D342" s="3" t="str">
        <f>""</f>
        <v/>
      </c>
    </row>
    <row r="343" spans="1:4" x14ac:dyDescent="0.25">
      <c r="A343" s="2" t="str">
        <f>""</f>
        <v/>
      </c>
      <c r="B343" s="3" t="str">
        <f>""</f>
        <v/>
      </c>
      <c r="C343" s="3" t="str">
        <f>""</f>
        <v/>
      </c>
      <c r="D343" s="3" t="str">
        <f>""</f>
        <v/>
      </c>
    </row>
    <row r="344" spans="1:4" x14ac:dyDescent="0.25">
      <c r="A344" s="2" t="str">
        <f>""</f>
        <v/>
      </c>
      <c r="B344" s="3" t="str">
        <f>""</f>
        <v/>
      </c>
      <c r="C344" s="3" t="str">
        <f>""</f>
        <v/>
      </c>
      <c r="D344" s="3" t="str">
        <f>""</f>
        <v/>
      </c>
    </row>
    <row r="345" spans="1:4" x14ac:dyDescent="0.25">
      <c r="A345" s="2" t="str">
        <f>""</f>
        <v/>
      </c>
      <c r="B345" s="3" t="str">
        <f>""</f>
        <v/>
      </c>
      <c r="C345" s="3" t="str">
        <f>""</f>
        <v/>
      </c>
      <c r="D345" s="3" t="str">
        <f>""</f>
        <v/>
      </c>
    </row>
    <row r="346" spans="1:4" x14ac:dyDescent="0.25">
      <c r="A346" s="2" t="str">
        <f>""</f>
        <v/>
      </c>
      <c r="B346" s="3" t="str">
        <f>""</f>
        <v/>
      </c>
      <c r="C346" s="3" t="str">
        <f>""</f>
        <v/>
      </c>
      <c r="D346" s="3" t="str">
        <f>""</f>
        <v/>
      </c>
    </row>
    <row r="347" spans="1:4" x14ac:dyDescent="0.25">
      <c r="A347" s="2" t="str">
        <f>""</f>
        <v/>
      </c>
      <c r="B347" s="3" t="str">
        <f>""</f>
        <v/>
      </c>
      <c r="C347" s="3" t="str">
        <f>""</f>
        <v/>
      </c>
      <c r="D347" s="3" t="str">
        <f>""</f>
        <v/>
      </c>
    </row>
    <row r="348" spans="1:4" x14ac:dyDescent="0.25">
      <c r="A348" s="2" t="str">
        <f>""</f>
        <v/>
      </c>
      <c r="B348" s="3" t="str">
        <f>""</f>
        <v/>
      </c>
      <c r="C348" s="3" t="str">
        <f>""</f>
        <v/>
      </c>
      <c r="D348" s="3" t="str">
        <f>""</f>
        <v/>
      </c>
    </row>
    <row r="349" spans="1:4" x14ac:dyDescent="0.25">
      <c r="A349" s="2" t="str">
        <f>""</f>
        <v/>
      </c>
      <c r="B349" s="3" t="str">
        <f>""</f>
        <v/>
      </c>
      <c r="C349" s="3" t="str">
        <f>""</f>
        <v/>
      </c>
      <c r="D349" s="3" t="str">
        <f>""</f>
        <v/>
      </c>
    </row>
    <row r="350" spans="1:4" ht="15.75" thickBot="1" x14ac:dyDescent="0.3">
      <c r="A350" s="4" t="str">
        <f>"APURACAO DE RESULTADOS"</f>
        <v>APURACAO DE RESULTADOS</v>
      </c>
      <c r="B350" s="5" t="str">
        <f>""</f>
        <v/>
      </c>
      <c r="C350" s="5" t="str">
        <f>""</f>
        <v/>
      </c>
      <c r="D350" s="5" t="str">
        <f>""</f>
        <v/>
      </c>
    </row>
    <row r="351" spans="1:4" x14ac:dyDescent="0.25">
      <c r="A351" t="s">
        <v>1</v>
      </c>
    </row>
  </sheetData>
  <pageMargins left="0.78740157499999996" right="0.78740157499999996" top="0.984251969" bottom="0.984251969" header="0.4921259845" footer="0.4921259845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9"/>
  <sheetViews>
    <sheetView workbookViewId="0">
      <selection activeCell="E2" sqref="E2"/>
    </sheetView>
  </sheetViews>
  <sheetFormatPr defaultRowHeight="15" x14ac:dyDescent="0.25"/>
  <cols>
    <col min="1" max="1" width="71.5703125" bestFit="1" customWidth="1"/>
    <col min="2" max="2" width="14.5703125" bestFit="1" customWidth="1"/>
    <col min="3" max="3" width="14.28515625" bestFit="1" customWidth="1"/>
    <col min="4" max="4" width="14.5703125" bestFit="1" customWidth="1"/>
  </cols>
  <sheetData>
    <row r="1" spans="1:4" ht="19.5" thickBot="1" x14ac:dyDescent="0.35">
      <c r="A1" s="1" t="s">
        <v>10</v>
      </c>
      <c r="B1" s="1"/>
      <c r="C1" s="1"/>
      <c r="D1" s="1"/>
    </row>
    <row r="2" spans="1:4" ht="15.75" thickBot="1" x14ac:dyDescent="0.3">
      <c r="A2" s="8" t="s">
        <v>13</v>
      </c>
      <c r="B2" s="9" t="s">
        <v>14</v>
      </c>
      <c r="C2" s="9" t="s">
        <v>15</v>
      </c>
      <c r="D2" s="9" t="s">
        <v>16</v>
      </c>
    </row>
    <row r="3" spans="1:4" x14ac:dyDescent="0.25">
      <c r="A3" s="6" t="str">
        <f>"ATIVO"</f>
        <v>ATIVO</v>
      </c>
      <c r="B3" s="7" t="str">
        <f>""</f>
        <v/>
      </c>
      <c r="C3" s="7" t="str">
        <f>""</f>
        <v/>
      </c>
      <c r="D3" s="7" t="str">
        <f>""</f>
        <v/>
      </c>
    </row>
    <row r="4" spans="1:4" x14ac:dyDescent="0.25">
      <c r="A4" s="2" t="str">
        <f>"1.0.0.00.00- ATIVO"</f>
        <v>1.0.0.00.00- ATIVO</v>
      </c>
      <c r="B4" s="10">
        <v>43705518.140000001</v>
      </c>
      <c r="C4" s="10">
        <v>1239762.33</v>
      </c>
      <c r="D4" s="10">
        <v>44945280.469999999</v>
      </c>
    </row>
    <row r="5" spans="1:4" x14ac:dyDescent="0.25">
      <c r="A5" s="2" t="str">
        <f>"1.1.0.00.00- ATIVO CIRCULANTE"</f>
        <v>1.1.0.00.00- ATIVO CIRCULANTE</v>
      </c>
      <c r="B5" s="10">
        <v>31257951.489999998</v>
      </c>
      <c r="C5" s="10">
        <v>728911.75</v>
      </c>
      <c r="D5" s="10">
        <v>31986863.239999998</v>
      </c>
    </row>
    <row r="6" spans="1:4" x14ac:dyDescent="0.25">
      <c r="A6" s="2" t="str">
        <f>"1.1.1.00.00- DISPONIVEL"</f>
        <v>1.1.1.00.00- DISPONIVEL</v>
      </c>
      <c r="B6" s="10">
        <v>15039805.85</v>
      </c>
      <c r="C6" s="10">
        <v>477644.44</v>
      </c>
      <c r="D6" s="10">
        <v>15517450.289999999</v>
      </c>
    </row>
    <row r="7" spans="1:4" x14ac:dyDescent="0.25">
      <c r="A7" s="2" t="str">
        <f>"1.1.1.01.00- CAIXA GERAL"</f>
        <v>1.1.1.01.00- CAIXA GERAL</v>
      </c>
      <c r="B7" s="10">
        <v>635.9</v>
      </c>
      <c r="C7" s="10">
        <v>560</v>
      </c>
      <c r="D7" s="10">
        <v>1195.9000000000001</v>
      </c>
    </row>
    <row r="8" spans="1:4" x14ac:dyDescent="0.25">
      <c r="A8" s="2" t="str">
        <f>"1.1.1.01.04- Caixa - Georf"</f>
        <v>1.1.1.01.04- Caixa - Georf</v>
      </c>
      <c r="B8" s="10">
        <v>0</v>
      </c>
      <c r="C8" s="10">
        <v>320</v>
      </c>
      <c r="D8" s="10">
        <v>320</v>
      </c>
    </row>
    <row r="9" spans="1:4" x14ac:dyDescent="0.25">
      <c r="A9" s="2" t="str">
        <f>"1.1.1.01.08- Caixa - AJU"</f>
        <v>1.1.1.01.08- Caixa - AJU</v>
      </c>
      <c r="B9" s="10">
        <v>480</v>
      </c>
      <c r="C9" s="10">
        <v>0</v>
      </c>
      <c r="D9" s="10">
        <v>480</v>
      </c>
    </row>
    <row r="10" spans="1:4" x14ac:dyDescent="0.25">
      <c r="A10" s="2" t="str">
        <f>"1.1.1.01.09- Caixa - GEAMP"</f>
        <v>1.1.1.01.09- Caixa - GEAMP</v>
      </c>
      <c r="B10" s="10">
        <v>155.9</v>
      </c>
      <c r="C10" s="10">
        <v>240</v>
      </c>
      <c r="D10" s="10">
        <v>395.9</v>
      </c>
    </row>
    <row r="11" spans="1:4" x14ac:dyDescent="0.25">
      <c r="A11" s="2" t="str">
        <f>"1.1.1.02.00- BANCOS C/MOVIMENTO"</f>
        <v>1.1.1.02.00- BANCOS C/MOVIMENTO</v>
      </c>
      <c r="B11" s="10">
        <v>269431.78999999998</v>
      </c>
      <c r="C11" s="10">
        <v>113541.11</v>
      </c>
      <c r="D11" s="10">
        <v>382972.9</v>
      </c>
    </row>
    <row r="12" spans="1:4" x14ac:dyDescent="0.25">
      <c r="A12" s="2" t="str">
        <f>"1.1.1.02.11- Banco do Brasil S/A - 720.000-5"</f>
        <v>1.1.1.02.11- Banco do Brasil S/A - 720.000-5</v>
      </c>
      <c r="B12" s="10">
        <v>0</v>
      </c>
      <c r="C12" s="10">
        <v>149.03</v>
      </c>
      <c r="D12" s="10">
        <v>149.03</v>
      </c>
    </row>
    <row r="13" spans="1:4" x14ac:dyDescent="0.25">
      <c r="A13" s="2" t="str">
        <f>"1.1.1.02.12- Banco do Brasil S/A - 720.001-3"</f>
        <v>1.1.1.02.12- Banco do Brasil S/A - 720.001-3</v>
      </c>
      <c r="B13" s="10">
        <v>326.57</v>
      </c>
      <c r="C13" s="10">
        <v>119.57</v>
      </c>
      <c r="D13" s="10">
        <v>446.14</v>
      </c>
    </row>
    <row r="14" spans="1:4" x14ac:dyDescent="0.25">
      <c r="A14" s="2" t="str">
        <f>"1.1.1.02.15- Banco do Brasil S/A - 7.218-4"</f>
        <v>1.1.1.02.15- Banco do Brasil S/A - 7.218-4</v>
      </c>
      <c r="B14" s="10">
        <v>0</v>
      </c>
      <c r="C14" s="10">
        <v>426.91</v>
      </c>
      <c r="D14" s="10">
        <v>426.91</v>
      </c>
    </row>
    <row r="15" spans="1:4" x14ac:dyDescent="0.25">
      <c r="A15" s="2" t="str">
        <f>"1.1.1.02.29- Caixa Econômica Federal - 3289-3 Arrecad"</f>
        <v>1.1.1.02.29- Caixa Econômica Federal - 3289-3 Arrecad</v>
      </c>
      <c r="B15" s="10">
        <v>12970.52</v>
      </c>
      <c r="C15" s="10">
        <v>26471.32</v>
      </c>
      <c r="D15" s="10">
        <v>39441.839999999997</v>
      </c>
    </row>
    <row r="16" spans="1:4" x14ac:dyDescent="0.25">
      <c r="A16" s="2" t="str">
        <f>"1.1.1.02.30- Caixa Econômica Federal - 3291-5 Movimen"</f>
        <v>1.1.1.02.30- Caixa Econômica Federal - 3291-5 Movimen</v>
      </c>
      <c r="B16" s="10">
        <v>1020</v>
      </c>
      <c r="C16" s="10">
        <v>-1178.7</v>
      </c>
      <c r="D16" s="10">
        <v>-158.69999999999999</v>
      </c>
    </row>
    <row r="17" spans="1:4" x14ac:dyDescent="0.25">
      <c r="A17" s="2" t="str">
        <f>"1.1.1.02.31- Caixa Economica Federal - 3293-1 ROT"</f>
        <v>1.1.1.02.31- Caixa Economica Federal - 3293-1 ROT</v>
      </c>
      <c r="B17" s="10">
        <v>1269.24</v>
      </c>
      <c r="C17" s="10">
        <v>-1269.24</v>
      </c>
      <c r="D17" s="10">
        <v>0</v>
      </c>
    </row>
    <row r="18" spans="1:4" x14ac:dyDescent="0.25">
      <c r="A18" s="2" t="str">
        <f>"1.1.1.02.32- Caixa Econômica Federal - 3292-3 Leilão"</f>
        <v>1.1.1.02.32- Caixa Econômica Federal - 3292-3 Leilão</v>
      </c>
      <c r="B18" s="10">
        <v>80</v>
      </c>
      <c r="C18" s="10">
        <v>0</v>
      </c>
      <c r="D18" s="10">
        <v>80</v>
      </c>
    </row>
    <row r="19" spans="1:4" x14ac:dyDescent="0.25">
      <c r="A19" s="2" t="str">
        <f>"1.1.1.02.33- Caixa Econômica Federal - 3295-8Leilão13"</f>
        <v>1.1.1.02.33- Caixa Econômica Federal - 3295-8Leilão13</v>
      </c>
      <c r="B19" s="10">
        <v>80</v>
      </c>
      <c r="C19" s="10">
        <v>0</v>
      </c>
      <c r="D19" s="10">
        <v>80</v>
      </c>
    </row>
    <row r="20" spans="1:4" x14ac:dyDescent="0.25">
      <c r="A20" s="2" t="str">
        <f>"1.1.1.02.37- Caixa Econômica Federal - 3299-0Leilão16"</f>
        <v>1.1.1.02.37- Caixa Econômica Federal - 3299-0Leilão16</v>
      </c>
      <c r="B20" s="10">
        <v>80</v>
      </c>
      <c r="C20" s="10">
        <v>0</v>
      </c>
      <c r="D20" s="10">
        <v>80</v>
      </c>
    </row>
    <row r="21" spans="1:4" x14ac:dyDescent="0.25">
      <c r="A21" s="2" t="str">
        <f>"1.1.1.02.39- Caixa Econômica Federal - 3301-6 Mídia"</f>
        <v>1.1.1.02.39- Caixa Econômica Federal - 3301-6 Mídia</v>
      </c>
      <c r="B21" s="10">
        <v>24917.94</v>
      </c>
      <c r="C21" s="10">
        <v>4699.55</v>
      </c>
      <c r="D21" s="10">
        <v>29617.49</v>
      </c>
    </row>
    <row r="22" spans="1:4" x14ac:dyDescent="0.25">
      <c r="A22" s="2" t="str">
        <f>"1.1.1.02.40- Caixa Econômica Federal - 3302-4 Mídia"</f>
        <v>1.1.1.02.40- Caixa Econômica Federal - 3302-4 Mídia</v>
      </c>
      <c r="B22" s="10">
        <v>78396.490000000005</v>
      </c>
      <c r="C22" s="10">
        <v>-5753.9</v>
      </c>
      <c r="D22" s="10">
        <v>72642.59</v>
      </c>
    </row>
    <row r="23" spans="1:4" x14ac:dyDescent="0.25">
      <c r="A23" s="2" t="str">
        <f>"1.1.1.02.41- Caixa Econômica Federal - 3303-2Rotativo"</f>
        <v>1.1.1.02.41- Caixa Econômica Federal - 3303-2Rotativo</v>
      </c>
      <c r="B23" s="10">
        <v>147649.03</v>
      </c>
      <c r="C23" s="10">
        <v>62266.76</v>
      </c>
      <c r="D23" s="10">
        <v>209915.79</v>
      </c>
    </row>
    <row r="24" spans="1:4" x14ac:dyDescent="0.25">
      <c r="A24" s="2" t="str">
        <f>"1.1.1.02.46- Caixa Econômica Federal - 3309-1 Rot int"</f>
        <v>1.1.1.02.46- Caixa Econômica Federal - 3309-1 Rot int</v>
      </c>
      <c r="B24" s="10">
        <v>2642</v>
      </c>
      <c r="C24" s="10">
        <v>22</v>
      </c>
      <c r="D24" s="10">
        <v>2664</v>
      </c>
    </row>
    <row r="25" spans="1:4" x14ac:dyDescent="0.25">
      <c r="A25" s="2" t="str">
        <f>"1.1.1.02.48- Caixa Econômica Federal - 3393-8Leilão17"</f>
        <v>1.1.1.02.48- Caixa Econômica Federal - 3393-8Leilão17</v>
      </c>
      <c r="B25" s="10">
        <v>0</v>
      </c>
      <c r="C25" s="10">
        <v>27587.81</v>
      </c>
      <c r="D25" s="10">
        <v>27587.81</v>
      </c>
    </row>
    <row r="26" spans="1:4" x14ac:dyDescent="0.25">
      <c r="A26" s="2" t="str">
        <f>"1.1.1.03.00- APLICACOES FINANCEIRAS"</f>
        <v>1.1.1.03.00- APLICACOES FINANCEIRAS</v>
      </c>
      <c r="B26" s="10">
        <v>11968323.15</v>
      </c>
      <c r="C26" s="10">
        <v>466438.65</v>
      </c>
      <c r="D26" s="10">
        <v>12434761.800000001</v>
      </c>
    </row>
    <row r="27" spans="1:4" x14ac:dyDescent="0.25">
      <c r="A27" s="2" t="str">
        <f>"1.1.1.03.23- Caixa Econômica Federal - 3291-5"</f>
        <v>1.1.1.03.23- Caixa Econômica Federal - 3291-5</v>
      </c>
      <c r="B27" s="10">
        <v>10636940.189999999</v>
      </c>
      <c r="C27" s="10">
        <v>559490.21</v>
      </c>
      <c r="D27" s="10">
        <v>11196430.4</v>
      </c>
    </row>
    <row r="28" spans="1:4" x14ac:dyDescent="0.25">
      <c r="A28" s="2" t="str">
        <f>"1.1.1.03.25- Caixa Econômica Federal - 3292-3 Leilão"</f>
        <v>1.1.1.03.25- Caixa Econômica Federal - 3292-3 Leilão</v>
      </c>
      <c r="B28" s="10">
        <v>71474.94</v>
      </c>
      <c r="C28" s="10">
        <v>443.45</v>
      </c>
      <c r="D28" s="10">
        <v>71918.39</v>
      </c>
    </row>
    <row r="29" spans="1:4" x14ac:dyDescent="0.25">
      <c r="A29" s="2" t="str">
        <f>"1.1.1.03.26- Caixa Econômica Federal - 3295-8Leilão13"</f>
        <v>1.1.1.03.26- Caixa Econômica Federal - 3295-8Leilão13</v>
      </c>
      <c r="B29" s="10">
        <v>198652.62</v>
      </c>
      <c r="C29" s="10">
        <v>1232.49</v>
      </c>
      <c r="D29" s="10">
        <v>199885.11</v>
      </c>
    </row>
    <row r="30" spans="1:4" x14ac:dyDescent="0.25">
      <c r="A30" s="2" t="str">
        <f>"1.1.1.03.29- Caixa Econômica Federal - 3298-2Leilão15"</f>
        <v>1.1.1.03.29- Caixa Econômica Federal - 3298-2Leilão15</v>
      </c>
      <c r="B30" s="10">
        <v>98079.98</v>
      </c>
      <c r="C30" s="10">
        <v>534.62</v>
      </c>
      <c r="D30" s="10">
        <v>98614.6</v>
      </c>
    </row>
    <row r="31" spans="1:4" x14ac:dyDescent="0.25">
      <c r="A31" s="2" t="str">
        <f>"1.1.1.03.30- Caixa Econômica Federal - 3299-0Leilão16"</f>
        <v>1.1.1.03.30- Caixa Econômica Federal - 3299-0Leilão16</v>
      </c>
      <c r="B31" s="10">
        <v>123123.94</v>
      </c>
      <c r="C31" s="10">
        <v>763.89</v>
      </c>
      <c r="D31" s="10">
        <v>123887.83</v>
      </c>
    </row>
    <row r="32" spans="1:4" x14ac:dyDescent="0.25">
      <c r="A32" s="2" t="str">
        <f>"1.1.1.03.31- Caixa Econômica Federal - 3300-8Leilão16"</f>
        <v>1.1.1.03.31- Caixa Econômica Federal - 3300-8Leilão16</v>
      </c>
      <c r="B32" s="10">
        <v>44313.94</v>
      </c>
      <c r="C32" s="10">
        <v>241.55</v>
      </c>
      <c r="D32" s="10">
        <v>44555.49</v>
      </c>
    </row>
    <row r="33" spans="1:4" x14ac:dyDescent="0.25">
      <c r="A33" s="2" t="str">
        <f>"1.1.1.03.32- Caixa Econômica - 3301-6 Mídia"</f>
        <v>1.1.1.03.32- Caixa Econômica - 3301-6 Mídia</v>
      </c>
      <c r="B33" s="10">
        <v>72562.320000000007</v>
      </c>
      <c r="C33" s="10">
        <v>431.84</v>
      </c>
      <c r="D33" s="10">
        <v>72994.16</v>
      </c>
    </row>
    <row r="34" spans="1:4" x14ac:dyDescent="0.25">
      <c r="A34" s="2" t="str">
        <f>"1.1.1.03.35- Caixa Econômica - 3304-0Caução"</f>
        <v>1.1.1.03.35- Caixa Econômica - 3304-0Caução</v>
      </c>
      <c r="B34" s="10">
        <v>421200.6</v>
      </c>
      <c r="C34" s="10">
        <v>2416.61</v>
      </c>
      <c r="D34" s="10">
        <v>423617.21</v>
      </c>
    </row>
    <row r="35" spans="1:4" x14ac:dyDescent="0.25">
      <c r="A35" s="2" t="str">
        <f>"1.1.1.03.36- Caixa Econômica - 3305-9Sucumb."</f>
        <v>1.1.1.03.36- Caixa Econômica - 3305-9Sucumb.</v>
      </c>
      <c r="B35" s="10">
        <v>4575.67</v>
      </c>
      <c r="C35" s="10">
        <v>24.45</v>
      </c>
      <c r="D35" s="10">
        <v>4600.12</v>
      </c>
    </row>
    <row r="36" spans="1:4" x14ac:dyDescent="0.25">
      <c r="A36" s="2" t="str">
        <f>"1.1.1.03.38- Caixa Econômica - 3308-3Leilão"</f>
        <v>1.1.1.03.38- Caixa Econômica - 3308-3Leilão</v>
      </c>
      <c r="B36" s="10">
        <v>2121.0300000000002</v>
      </c>
      <c r="C36" s="10">
        <v>11.33</v>
      </c>
      <c r="D36" s="10">
        <v>2132.36</v>
      </c>
    </row>
    <row r="37" spans="1:4" x14ac:dyDescent="0.25">
      <c r="A37" s="2" t="str">
        <f>"1.1.1.03.41- Caixa Econômica - 531-0 Aci moto poupanç"</f>
        <v>1.1.1.03.41- Caixa Econômica - 531-0 Aci moto poupanç</v>
      </c>
      <c r="B37" s="10">
        <v>4316.6499999999996</v>
      </c>
      <c r="C37" s="10">
        <v>52.38</v>
      </c>
      <c r="D37" s="10">
        <v>4369.03</v>
      </c>
    </row>
    <row r="38" spans="1:4" x14ac:dyDescent="0.25">
      <c r="A38" s="2" t="str">
        <f>"1.1.1.03.42- Caixa Econômica - 532-9 Acid Ped Poupanç"</f>
        <v>1.1.1.03.42- Caixa Econômica - 532-9 Acid Ped Poupanç</v>
      </c>
      <c r="B38" s="10">
        <v>3716.25</v>
      </c>
      <c r="C38" s="10">
        <v>100045.09</v>
      </c>
      <c r="D38" s="10">
        <v>103761.34</v>
      </c>
    </row>
    <row r="39" spans="1:4" x14ac:dyDescent="0.25">
      <c r="A39" s="2" t="str">
        <f>"1.1.1.03.43- Caixa Econômica - 534-5 Codemig Poupança"</f>
        <v>1.1.1.03.43- Caixa Econômica - 534-5 Codemig Poupança</v>
      </c>
      <c r="B39" s="10">
        <v>25126.85</v>
      </c>
      <c r="C39" s="10">
        <v>306.2</v>
      </c>
      <c r="D39" s="10">
        <v>25433.05</v>
      </c>
    </row>
    <row r="40" spans="1:4" x14ac:dyDescent="0.25">
      <c r="A40" s="2" t="str">
        <f>"1.1.1.03.44- Caixa Econômica - 535-3 Turblog Poupança"</f>
        <v>1.1.1.03.44- Caixa Econômica - 535-3 Turblog Poupança</v>
      </c>
      <c r="B40" s="10">
        <v>61809.51</v>
      </c>
      <c r="C40" s="10">
        <v>753.2</v>
      </c>
      <c r="D40" s="10">
        <v>62562.71</v>
      </c>
    </row>
    <row r="41" spans="1:4" x14ac:dyDescent="0.25">
      <c r="A41" s="2" t="str">
        <f>"1.1.1.03.45- Caixa Econômica Federal - 3393-8Leilão17"</f>
        <v>1.1.1.03.45- Caixa Econômica Federal - 3393-8Leilão17</v>
      </c>
      <c r="B41" s="10">
        <v>200308.66</v>
      </c>
      <c r="C41" s="10">
        <v>-200308.66</v>
      </c>
      <c r="D41" s="10">
        <v>0</v>
      </c>
    </row>
    <row r="42" spans="1:4" x14ac:dyDescent="0.25">
      <c r="A42" s="2" t="str">
        <f>"1.1.1.04.00- BANCOS C/VINCULADA-PAMEH"</f>
        <v>1.1.1.04.00- BANCOS C/VINCULADA-PAMEH</v>
      </c>
      <c r="B42" s="10">
        <v>2801415.01</v>
      </c>
      <c r="C42" s="10">
        <v>-102895.32</v>
      </c>
      <c r="D42" s="10">
        <v>2698519.69</v>
      </c>
    </row>
    <row r="43" spans="1:4" x14ac:dyDescent="0.25">
      <c r="A43" s="2" t="str">
        <f>"1.1.1.04.08- Caixa Econômica Federal - 3294-0 Aplic."</f>
        <v>1.1.1.04.08- Caixa Econômica Federal - 3294-0 Aplic.</v>
      </c>
      <c r="B43" s="10">
        <v>2801415.01</v>
      </c>
      <c r="C43" s="10">
        <v>-102895.32</v>
      </c>
      <c r="D43" s="10">
        <v>2698519.69</v>
      </c>
    </row>
    <row r="44" spans="1:4" x14ac:dyDescent="0.25">
      <c r="A44" s="2" t="str">
        <f>"1.1.2.00.00- REALIZAVEL A CURTO PRAZO"</f>
        <v>1.1.2.00.00- REALIZAVEL A CURTO PRAZO</v>
      </c>
      <c r="B44" s="10">
        <v>16218145.640000001</v>
      </c>
      <c r="C44" s="10">
        <v>251267.31</v>
      </c>
      <c r="D44" s="10">
        <v>16469412.949999999</v>
      </c>
    </row>
    <row r="45" spans="1:4" x14ac:dyDescent="0.25">
      <c r="A45" s="2" t="str">
        <f>"1.1.2.01.00- CONTAS A RECEBER"</f>
        <v>1.1.2.01.00- CONTAS A RECEBER</v>
      </c>
      <c r="B45" s="10">
        <v>9420435.6099999994</v>
      </c>
      <c r="C45" s="10">
        <v>519916.15</v>
      </c>
      <c r="D45" s="10">
        <v>9940351.7599999998</v>
      </c>
    </row>
    <row r="46" spans="1:4" x14ac:dyDescent="0.25">
      <c r="A46" s="2" t="str">
        <f>"1.1.2.01.89- Multas Transporte Coletivo"</f>
        <v>1.1.2.01.89- Multas Transporte Coletivo</v>
      </c>
      <c r="B46" s="10">
        <v>10955604.25</v>
      </c>
      <c r="C46" s="10">
        <v>577684.61</v>
      </c>
      <c r="D46" s="10">
        <v>11533288.859999999</v>
      </c>
    </row>
    <row r="47" spans="1:4" x14ac:dyDescent="0.25">
      <c r="A47" s="2" t="str">
        <f>"1.1.2.01.94- Midia Onibus a Receber"</f>
        <v>1.1.2.01.94- Midia Onibus a Receber</v>
      </c>
      <c r="B47" s="10">
        <v>253567.34</v>
      </c>
      <c r="C47" s="10">
        <v>0</v>
      </c>
      <c r="D47" s="10">
        <v>253567.34</v>
      </c>
    </row>
    <row r="48" spans="1:4" x14ac:dyDescent="0.25">
      <c r="A48" s="2" t="str">
        <f>"1.1.2.01.99- (-) Provisao para Perdas"</f>
        <v>1.1.2.01.99- (-) Provisao para Perdas</v>
      </c>
      <c r="B48" s="10">
        <v>-1788735.98</v>
      </c>
      <c r="C48" s="10">
        <v>-57768.46</v>
      </c>
      <c r="D48" s="10">
        <v>-1846504.44</v>
      </c>
    </row>
    <row r="49" spans="1:4" x14ac:dyDescent="0.25">
      <c r="A49" s="2" t="str">
        <f>"1.1.2.06.00- ADIANTAMENTO A EMPREGADOS"</f>
        <v>1.1.2.06.00- ADIANTAMENTO A EMPREGADOS</v>
      </c>
      <c r="B49" s="10">
        <v>3251878.65</v>
      </c>
      <c r="C49" s="10">
        <v>-199487.44</v>
      </c>
      <c r="D49" s="10">
        <v>3052391.21</v>
      </c>
    </row>
    <row r="50" spans="1:4" x14ac:dyDescent="0.25">
      <c r="A50" s="2" t="str">
        <f>"1.1.2.06.01- Adiantamento de Ferias"</f>
        <v>1.1.2.06.01- Adiantamento de Ferias</v>
      </c>
      <c r="B50" s="10">
        <v>674379.7</v>
      </c>
      <c r="C50" s="10">
        <v>-181981.56</v>
      </c>
      <c r="D50" s="10">
        <v>492398.14</v>
      </c>
    </row>
    <row r="51" spans="1:4" x14ac:dyDescent="0.25">
      <c r="A51" s="2" t="str">
        <f>"1.1.2.06.02- Adiantamento de 13. Salario"</f>
        <v>1.1.2.06.02- Adiantamento de 13. Salario</v>
      </c>
      <c r="B51" s="10">
        <v>2324725.0299999998</v>
      </c>
      <c r="C51" s="10">
        <v>2219.21</v>
      </c>
      <c r="D51" s="10">
        <v>2326944.2400000002</v>
      </c>
    </row>
    <row r="52" spans="1:4" x14ac:dyDescent="0.25">
      <c r="A52" s="2" t="str">
        <f>"1.1.2.06.03- Adiant. de Salario/Parc. Ferias"</f>
        <v>1.1.2.06.03- Adiant. de Salario/Parc. Ferias</v>
      </c>
      <c r="B52" s="10">
        <v>142169.26</v>
      </c>
      <c r="C52" s="10">
        <v>-10527.82</v>
      </c>
      <c r="D52" s="10">
        <v>131641.44</v>
      </c>
    </row>
    <row r="53" spans="1:4" x14ac:dyDescent="0.25">
      <c r="A53" s="2" t="str">
        <f>"1.1.2.06.07- Adiantamento Pensao s/ Ferias"</f>
        <v>1.1.2.06.07- Adiantamento Pensao s/ Ferias</v>
      </c>
      <c r="B53" s="10">
        <v>110604.66</v>
      </c>
      <c r="C53" s="10">
        <v>-9197.27</v>
      </c>
      <c r="D53" s="10">
        <v>101407.39</v>
      </c>
    </row>
    <row r="54" spans="1:4" x14ac:dyDescent="0.25">
      <c r="A54" s="2" t="str">
        <f>"1.1.2.08.00- ALMOXARIFADO"</f>
        <v>1.1.2.08.00- ALMOXARIFADO</v>
      </c>
      <c r="B54" s="10">
        <v>323956.94</v>
      </c>
      <c r="C54" s="10">
        <v>-19793.12</v>
      </c>
      <c r="D54" s="10">
        <v>304163.82</v>
      </c>
    </row>
    <row r="55" spans="1:4" x14ac:dyDescent="0.25">
      <c r="A55" s="2" t="str">
        <f>"1.1.2.08.01- Material em Estoque"</f>
        <v>1.1.2.08.01- Material em Estoque</v>
      </c>
      <c r="B55" s="10">
        <v>323956.94</v>
      </c>
      <c r="C55" s="10">
        <v>-19793.12</v>
      </c>
      <c r="D55" s="10">
        <v>304163.82</v>
      </c>
    </row>
    <row r="56" spans="1:4" x14ac:dyDescent="0.25">
      <c r="A56" s="2" t="str">
        <f>"1.1.2.10.00- IMPOSTOS E CONTRIB.A RECUPERAR"</f>
        <v>1.1.2.10.00- IMPOSTOS E CONTRIB.A RECUPERAR</v>
      </c>
      <c r="B56" s="10">
        <v>1838174.68</v>
      </c>
      <c r="C56" s="10">
        <v>5176.21</v>
      </c>
      <c r="D56" s="10">
        <v>1843350.89</v>
      </c>
    </row>
    <row r="57" spans="1:4" x14ac:dyDescent="0.25">
      <c r="A57" s="2" t="str">
        <f>"1.1.2.10.01- IR s/Aplicacao Financeira"</f>
        <v>1.1.2.10.01- IR s/Aplicacao Financeira</v>
      </c>
      <c r="B57" s="10">
        <v>457734.77</v>
      </c>
      <c r="C57" s="10">
        <v>5107.8999999999996</v>
      </c>
      <c r="D57" s="10">
        <v>462842.67</v>
      </c>
    </row>
    <row r="58" spans="1:4" x14ac:dyDescent="0.25">
      <c r="A58" s="2" t="str">
        <f>"1.1.2.10.08- IRRF a Compensar"</f>
        <v>1.1.2.10.08- IRRF a Compensar</v>
      </c>
      <c r="B58" s="10">
        <v>1454.99</v>
      </c>
      <c r="C58" s="10">
        <v>0</v>
      </c>
      <c r="D58" s="10">
        <v>1454.99</v>
      </c>
    </row>
    <row r="59" spans="1:4" x14ac:dyDescent="0.25">
      <c r="A59" s="2" t="str">
        <f>"1.1.2.10.15- Cofins a Compensar"</f>
        <v>1.1.2.10.15- Cofins a Compensar</v>
      </c>
      <c r="B59" s="10">
        <v>1039251.05</v>
      </c>
      <c r="C59" s="10">
        <v>0.03</v>
      </c>
      <c r="D59" s="10">
        <v>1039251.08</v>
      </c>
    </row>
    <row r="60" spans="1:4" x14ac:dyDescent="0.25">
      <c r="A60" s="2" t="str">
        <f>"1.1.2.10.16- PIS a Compensar"</f>
        <v>1.1.2.10.16- PIS a Compensar</v>
      </c>
      <c r="B60" s="10">
        <v>224393.96</v>
      </c>
      <c r="C60" s="10">
        <v>0.03</v>
      </c>
      <c r="D60" s="10">
        <v>224393.99</v>
      </c>
    </row>
    <row r="61" spans="1:4" x14ac:dyDescent="0.25">
      <c r="A61" s="2" t="str">
        <f>"1.1.2.10.20- V.M.A PIS a Recuperar"</f>
        <v>1.1.2.10.20- V.M.A PIS a Recuperar</v>
      </c>
      <c r="B61" s="10">
        <v>1276.6199999999999</v>
      </c>
      <c r="C61" s="10">
        <v>37.36</v>
      </c>
      <c r="D61" s="10">
        <v>1313.98</v>
      </c>
    </row>
    <row r="62" spans="1:4" x14ac:dyDescent="0.25">
      <c r="A62" s="2" t="str">
        <f>"1.1.2.10.21- V.M.A IRRF a Compensar"</f>
        <v>1.1.2.10.21- V.M.A IRRF a Compensar</v>
      </c>
      <c r="B62" s="10">
        <v>454.11</v>
      </c>
      <c r="C62" s="10">
        <v>9.32</v>
      </c>
      <c r="D62" s="10">
        <v>463.43</v>
      </c>
    </row>
    <row r="63" spans="1:4" x14ac:dyDescent="0.25">
      <c r="A63" s="2" t="str">
        <f>"1.1.2.10.22- V.M.A COFINS a Compensar"</f>
        <v>1.1.2.10.22- V.M.A COFINS a Compensar</v>
      </c>
      <c r="B63" s="10">
        <v>5345.41</v>
      </c>
      <c r="C63" s="10">
        <v>21.57</v>
      </c>
      <c r="D63" s="10">
        <v>5366.98</v>
      </c>
    </row>
    <row r="64" spans="1:4" x14ac:dyDescent="0.25">
      <c r="A64" s="2" t="str">
        <f>"1.1.2.10.25- INSS a recuperar segurados"</f>
        <v>1.1.2.10.25- INSS a recuperar segurados</v>
      </c>
      <c r="B64" s="10">
        <v>108263.77</v>
      </c>
      <c r="C64" s="10">
        <v>0</v>
      </c>
      <c r="D64" s="10">
        <v>108263.77</v>
      </c>
    </row>
    <row r="65" spans="1:4" x14ac:dyDescent="0.25">
      <c r="A65" s="2" t="str">
        <f>"1.1.2.11.00- DESPESAS ANTECIPADAS"</f>
        <v>1.1.2.11.00- DESPESAS ANTECIPADAS</v>
      </c>
      <c r="B65" s="10">
        <v>6509.38</v>
      </c>
      <c r="C65" s="10">
        <v>2778.26</v>
      </c>
      <c r="D65" s="10">
        <v>9287.64</v>
      </c>
    </row>
    <row r="66" spans="1:4" x14ac:dyDescent="0.25">
      <c r="A66" s="2" t="str">
        <f>"1.1.2.11.01- Premios de Seguros a Vencer"</f>
        <v>1.1.2.11.01- Premios de Seguros a Vencer</v>
      </c>
      <c r="B66" s="10">
        <v>6509.38</v>
      </c>
      <c r="C66" s="10">
        <v>2778.26</v>
      </c>
      <c r="D66" s="10">
        <v>9287.64</v>
      </c>
    </row>
    <row r="67" spans="1:4" x14ac:dyDescent="0.25">
      <c r="A67" s="2" t="str">
        <f>"1.1.2.12.00- VALORES VINC.A RECEBER-PAMEH"</f>
        <v>1.1.2.12.00- VALORES VINC.A RECEBER-PAMEH</v>
      </c>
      <c r="B67" s="10">
        <v>731826.79</v>
      </c>
      <c r="C67" s="10">
        <v>1824.89</v>
      </c>
      <c r="D67" s="10">
        <v>733651.68</v>
      </c>
    </row>
    <row r="68" spans="1:4" x14ac:dyDescent="0.25">
      <c r="A68" s="2" t="str">
        <f>"1.1.2.12.01- Valores Vinculados-PAMEH"</f>
        <v>1.1.2.12.01- Valores Vinculados-PAMEH</v>
      </c>
      <c r="B68" s="10">
        <v>731826.79</v>
      </c>
      <c r="C68" s="10">
        <v>1824.89</v>
      </c>
      <c r="D68" s="10">
        <v>733651.68</v>
      </c>
    </row>
    <row r="69" spans="1:4" x14ac:dyDescent="0.25">
      <c r="A69" s="2" t="str">
        <f>"1.1.2.14.00- CONTAS TRANSITORIAS - GRUPO ATIVO"</f>
        <v>1.1.2.14.00- CONTAS TRANSITORIAS - GRUPO ATIVO</v>
      </c>
      <c r="B69" s="10">
        <v>635453.68999999994</v>
      </c>
      <c r="C69" s="10">
        <v>-68349.69</v>
      </c>
      <c r="D69" s="10">
        <v>567104</v>
      </c>
    </row>
    <row r="70" spans="1:4" x14ac:dyDescent="0.25">
      <c r="A70" s="2" t="str">
        <f>"1.1.2.14.05- Transitoria Folha de Pagamento"</f>
        <v>1.1.2.14.05- Transitoria Folha de Pagamento</v>
      </c>
      <c r="B70" s="10">
        <v>635453.68999999994</v>
      </c>
      <c r="C70" s="10">
        <v>-68349.69</v>
      </c>
      <c r="D70" s="10">
        <v>567104</v>
      </c>
    </row>
    <row r="71" spans="1:4" x14ac:dyDescent="0.25">
      <c r="A71" s="2" t="str">
        <f>"1.1.2.15.00- CARNE ESTACIONAMENTO ROTATIVO"</f>
        <v>1.1.2.15.00- CARNE ESTACIONAMENTO ROTATIVO</v>
      </c>
      <c r="B71" s="10">
        <v>9909.9</v>
      </c>
      <c r="C71" s="10">
        <v>9202.0499999999993</v>
      </c>
      <c r="D71" s="10">
        <v>19111.95</v>
      </c>
    </row>
    <row r="72" spans="1:4" x14ac:dyDescent="0.25">
      <c r="A72" s="2" t="str">
        <f>"1.1.2.15.01- Carne Rotativo"</f>
        <v>1.1.2.15.01- Carne Rotativo</v>
      </c>
      <c r="B72" s="10">
        <v>9909.9</v>
      </c>
      <c r="C72" s="10">
        <v>9202.0499999999993</v>
      </c>
      <c r="D72" s="10">
        <v>19111.95</v>
      </c>
    </row>
    <row r="73" spans="1:4" x14ac:dyDescent="0.25">
      <c r="A73" s="2" t="str">
        <f>"1.2.0.00.00- ATIVO NAO CIRCULANTE"</f>
        <v>1.2.0.00.00- ATIVO NAO CIRCULANTE</v>
      </c>
      <c r="B73" s="10">
        <v>12447566.65</v>
      </c>
      <c r="C73" s="10">
        <v>510850.58</v>
      </c>
      <c r="D73" s="10">
        <v>12958417.23</v>
      </c>
    </row>
    <row r="74" spans="1:4" x14ac:dyDescent="0.25">
      <c r="A74" s="2" t="str">
        <f>"1.2.1.00.00- REALIZAVEL A LONGO PRAZO"</f>
        <v>1.2.1.00.00- REALIZAVEL A LONGO PRAZO</v>
      </c>
      <c r="B74" s="10">
        <v>10332002.199999999</v>
      </c>
      <c r="C74" s="10">
        <v>527455.59</v>
      </c>
      <c r="D74" s="10">
        <v>10859457.789999999</v>
      </c>
    </row>
    <row r="75" spans="1:4" x14ac:dyDescent="0.25">
      <c r="A75" s="2" t="str">
        <f>"1.2.1.01.00- CREDITOS E VALORES A RECEBER"</f>
        <v>1.2.1.01.00- CREDITOS E VALORES A RECEBER</v>
      </c>
      <c r="B75" s="10">
        <v>10332002.199999999</v>
      </c>
      <c r="C75" s="10">
        <v>527455.59</v>
      </c>
      <c r="D75" s="10">
        <v>10859457.789999999</v>
      </c>
    </row>
    <row r="76" spans="1:4" x14ac:dyDescent="0.25">
      <c r="A76" s="2" t="str">
        <f>"1.2.1.01.01- Depositos Judiciais"</f>
        <v>1.2.1.01.01- Depositos Judiciais</v>
      </c>
      <c r="B76" s="10">
        <v>4496736.95</v>
      </c>
      <c r="C76" s="10">
        <v>527455.59</v>
      </c>
      <c r="D76" s="10">
        <v>5024192.54</v>
      </c>
    </row>
    <row r="77" spans="1:4" x14ac:dyDescent="0.25">
      <c r="A77" s="2" t="str">
        <f>"1.2.1.01.03- Depositos Judiciais de Terceiros"</f>
        <v>1.2.1.01.03- Depositos Judiciais de Terceiros</v>
      </c>
      <c r="B77" s="10">
        <v>357770.4</v>
      </c>
      <c r="C77" s="10">
        <v>0</v>
      </c>
      <c r="D77" s="10">
        <v>357770.4</v>
      </c>
    </row>
    <row r="78" spans="1:4" x14ac:dyDescent="0.25">
      <c r="A78" s="2" t="str">
        <f>"1.2.1.01.04- Convenio Prefeitura Betim"</f>
        <v>1.2.1.01.04- Convenio Prefeitura Betim</v>
      </c>
      <c r="B78" s="10">
        <v>21463.9</v>
      </c>
      <c r="C78" s="10">
        <v>0</v>
      </c>
      <c r="D78" s="10">
        <v>21463.9</v>
      </c>
    </row>
    <row r="79" spans="1:4" x14ac:dyDescent="0.25">
      <c r="A79" s="2" t="str">
        <f>"1.2.1.01.05- Convenio IPSEMG"</f>
        <v>1.2.1.01.05- Convenio IPSEMG</v>
      </c>
      <c r="B79" s="10">
        <v>21163.53</v>
      </c>
      <c r="C79" s="10">
        <v>0</v>
      </c>
      <c r="D79" s="10">
        <v>21163.53</v>
      </c>
    </row>
    <row r="80" spans="1:4" x14ac:dyDescent="0.25">
      <c r="A80" s="2" t="str">
        <f>"1.2.1.01.06- Multas Transporte Coletivo"</f>
        <v>1.2.1.01.06- Multas Transporte Coletivo</v>
      </c>
      <c r="B80" s="10">
        <v>5434867.4199999999</v>
      </c>
      <c r="C80" s="10">
        <v>0</v>
      </c>
      <c r="D80" s="10">
        <v>5434867.4199999999</v>
      </c>
    </row>
    <row r="81" spans="1:4" x14ac:dyDescent="0.25">
      <c r="A81" s="2" t="str">
        <f>"1.3.1.00.00- INVESTIMENTOS"</f>
        <v>1.3.1.00.00- INVESTIMENTOS</v>
      </c>
      <c r="B81" s="10">
        <v>26070</v>
      </c>
      <c r="C81" s="10">
        <v>0</v>
      </c>
      <c r="D81" s="10">
        <v>26070</v>
      </c>
    </row>
    <row r="82" spans="1:4" x14ac:dyDescent="0.25">
      <c r="A82" s="2" t="str">
        <f>"1.3.1.01.00- OUTROS INVESTIMENTOS"</f>
        <v>1.3.1.01.00- OUTROS INVESTIMENTOS</v>
      </c>
      <c r="B82" s="10">
        <v>26070</v>
      </c>
      <c r="C82" s="10">
        <v>0</v>
      </c>
      <c r="D82" s="10">
        <v>26070</v>
      </c>
    </row>
    <row r="83" spans="1:4" x14ac:dyDescent="0.25">
      <c r="A83" s="2" t="str">
        <f>"1.3.1.01.01- Obras de Arte"</f>
        <v>1.3.1.01.01- Obras de Arte</v>
      </c>
      <c r="B83" s="10">
        <v>25200</v>
      </c>
      <c r="C83" s="10">
        <v>0</v>
      </c>
      <c r="D83" s="10">
        <v>25200</v>
      </c>
    </row>
    <row r="84" spans="1:4" x14ac:dyDescent="0.25">
      <c r="A84" s="2" t="str">
        <f>"1.3.1.01.02- Participações Societárias - PBH ATIVOS"</f>
        <v>1.3.1.01.02- Participações Societárias - PBH ATIVOS</v>
      </c>
      <c r="B84" s="10">
        <v>870</v>
      </c>
      <c r="C84" s="10">
        <v>0</v>
      </c>
      <c r="D84" s="10">
        <v>870</v>
      </c>
    </row>
    <row r="85" spans="1:4" x14ac:dyDescent="0.25">
      <c r="A85" s="2" t="str">
        <f>"1.3.2.00.00- IMOBILIZADO"</f>
        <v>1.3.2.00.00- IMOBILIZADO</v>
      </c>
      <c r="B85" s="10">
        <v>6843850.4500000002</v>
      </c>
      <c r="C85" s="10">
        <v>5090</v>
      </c>
      <c r="D85" s="10">
        <v>6848940.4500000002</v>
      </c>
    </row>
    <row r="86" spans="1:4" x14ac:dyDescent="0.25">
      <c r="A86" s="2" t="str">
        <f>"1.3.2.01.01- Maquinas e equipamentos"</f>
        <v>1.3.2.01.01- Maquinas e equipamentos</v>
      </c>
      <c r="B86" s="10">
        <v>242005.46</v>
      </c>
      <c r="C86" s="10">
        <v>0</v>
      </c>
      <c r="D86" s="10">
        <v>242005.46</v>
      </c>
    </row>
    <row r="87" spans="1:4" x14ac:dyDescent="0.25">
      <c r="A87" s="2" t="str">
        <f>"1.3.2.02.01- Ferramentas"</f>
        <v>1.3.2.02.01- Ferramentas</v>
      </c>
      <c r="B87" s="10">
        <v>9104.81</v>
      </c>
      <c r="C87" s="10">
        <v>0</v>
      </c>
      <c r="D87" s="10">
        <v>9104.81</v>
      </c>
    </row>
    <row r="88" spans="1:4" x14ac:dyDescent="0.25">
      <c r="A88" s="2" t="str">
        <f>"1.3.2.03.01- Equipamentos de comunicacao"</f>
        <v>1.3.2.03.01- Equipamentos de comunicacao</v>
      </c>
      <c r="B88" s="10">
        <v>172167.01</v>
      </c>
      <c r="C88" s="10">
        <v>0</v>
      </c>
      <c r="D88" s="10">
        <v>172167.01</v>
      </c>
    </row>
    <row r="89" spans="1:4" x14ac:dyDescent="0.25">
      <c r="A89" s="2" t="str">
        <f>"1.3.2.04.01- Instalacoes"</f>
        <v>1.3.2.04.01- Instalacoes</v>
      </c>
      <c r="B89" s="10">
        <v>85222.9</v>
      </c>
      <c r="C89" s="10">
        <v>0</v>
      </c>
      <c r="D89" s="10">
        <v>85222.9</v>
      </c>
    </row>
    <row r="90" spans="1:4" x14ac:dyDescent="0.25">
      <c r="A90" s="2" t="str">
        <f>"1.3.2.06.01- Moveis e utensilios"</f>
        <v>1.3.2.06.01- Moveis e utensilios</v>
      </c>
      <c r="B90" s="10">
        <v>536596.49</v>
      </c>
      <c r="C90" s="10">
        <v>0</v>
      </c>
      <c r="D90" s="10">
        <v>536596.49</v>
      </c>
    </row>
    <row r="91" spans="1:4" x14ac:dyDescent="0.25">
      <c r="A91" s="2" t="str">
        <f>"1.3.2.08.01- Instalacoes administrativas"</f>
        <v>1.3.2.08.01- Instalacoes administrativas</v>
      </c>
      <c r="B91" s="10">
        <v>99146.34</v>
      </c>
      <c r="C91" s="10">
        <v>0</v>
      </c>
      <c r="D91" s="10">
        <v>99146.34</v>
      </c>
    </row>
    <row r="92" spans="1:4" x14ac:dyDescent="0.25">
      <c r="A92" s="2" t="str">
        <f>"1.3.2.09.01- Aparelhos/equipamentos diversos"</f>
        <v>1.3.2.09.01- Aparelhos/equipamentos diversos</v>
      </c>
      <c r="B92" s="10">
        <v>600752.32999999996</v>
      </c>
      <c r="C92" s="10">
        <v>0</v>
      </c>
      <c r="D92" s="10">
        <v>600752.32999999996</v>
      </c>
    </row>
    <row r="93" spans="1:4" x14ac:dyDescent="0.25">
      <c r="A93" s="2" t="str">
        <f>"1.3.2.10.01- Equip. p/ processamento de dados"</f>
        <v>1.3.2.10.01- Equip. p/ processamento de dados</v>
      </c>
      <c r="B93" s="10">
        <v>696029.05</v>
      </c>
      <c r="C93" s="10">
        <v>0</v>
      </c>
      <c r="D93" s="10">
        <v>696029.05</v>
      </c>
    </row>
    <row r="94" spans="1:4" x14ac:dyDescent="0.25">
      <c r="A94" s="2" t="str">
        <f>"1.3.2.12.01- Micros/impressoras e acessorios"</f>
        <v>1.3.2.12.01- Micros/impressoras e acessorios</v>
      </c>
      <c r="B94" s="10">
        <v>2685441.68</v>
      </c>
      <c r="C94" s="10">
        <v>5090</v>
      </c>
      <c r="D94" s="10">
        <v>2690531.68</v>
      </c>
    </row>
    <row r="95" spans="1:4" x14ac:dyDescent="0.25">
      <c r="A95" s="2" t="str">
        <f>"1.3.2.13.01- Imobilizacao em imoveis de terceiros"</f>
        <v>1.3.2.13.01- Imobilizacao em imoveis de terceiros</v>
      </c>
      <c r="B95" s="10">
        <v>1673924.44</v>
      </c>
      <c r="C95" s="10">
        <v>0</v>
      </c>
      <c r="D95" s="10">
        <v>1673924.44</v>
      </c>
    </row>
    <row r="96" spans="1:4" x14ac:dyDescent="0.25">
      <c r="A96" s="2" t="str">
        <f>"1.3.2.14.02- Estacao pampulha"</f>
        <v>1.3.2.14.02- Estacao pampulha</v>
      </c>
      <c r="B96" s="10">
        <v>43459.94</v>
      </c>
      <c r="C96" s="10">
        <v>0</v>
      </c>
      <c r="D96" s="10">
        <v>43459.94</v>
      </c>
    </row>
    <row r="97" spans="1:4" x14ac:dyDescent="0.25">
      <c r="A97" s="2" t="str">
        <f>"1.3.3.00.00- INTANGIVEL"</f>
        <v>1.3.3.00.00- INTANGIVEL</v>
      </c>
      <c r="B97" s="10">
        <v>891461.55</v>
      </c>
      <c r="C97" s="10">
        <v>0</v>
      </c>
      <c r="D97" s="10">
        <v>891461.55</v>
      </c>
    </row>
    <row r="98" spans="1:4" x14ac:dyDescent="0.25">
      <c r="A98" s="2" t="str">
        <f>"1.3.3.03.00- MARCAS E PATENTES"</f>
        <v>1.3.3.03.00- MARCAS E PATENTES</v>
      </c>
      <c r="B98" s="10">
        <v>1106</v>
      </c>
      <c r="C98" s="10">
        <v>0</v>
      </c>
      <c r="D98" s="10">
        <v>1106</v>
      </c>
    </row>
    <row r="99" spans="1:4" x14ac:dyDescent="0.25">
      <c r="A99" s="2" t="str">
        <f>"1.3.3.03.01- Marcas e Patentes"</f>
        <v>1.3.3.03.01- Marcas e Patentes</v>
      </c>
      <c r="B99" s="10">
        <v>1106</v>
      </c>
      <c r="C99" s="10">
        <v>0</v>
      </c>
      <c r="D99" s="10">
        <v>1106</v>
      </c>
    </row>
    <row r="100" spans="1:4" x14ac:dyDescent="0.25">
      <c r="A100" s="2" t="str">
        <f>"1.3.3.04.01- Programas e Sistemas"</f>
        <v>1.3.3.04.01- Programas e Sistemas</v>
      </c>
      <c r="B100" s="10">
        <v>890355.55</v>
      </c>
      <c r="C100" s="10">
        <v>0</v>
      </c>
      <c r="D100" s="10">
        <v>890355.55</v>
      </c>
    </row>
    <row r="101" spans="1:4" x14ac:dyDescent="0.25">
      <c r="A101" s="2" t="str">
        <f>"1.3.5.00.00- ( - )DEPRECIACAO E AMORTIZACAO"</f>
        <v>1.3.5.00.00- ( - )DEPRECIACAO E AMORTIZACAO</v>
      </c>
      <c r="B101" s="10">
        <v>-5645817.5499999998</v>
      </c>
      <c r="C101" s="10">
        <v>-21695.01</v>
      </c>
      <c r="D101" s="10">
        <v>-5667512.5599999996</v>
      </c>
    </row>
    <row r="102" spans="1:4" x14ac:dyDescent="0.25">
      <c r="A102" s="2" t="str">
        <f>"1.3.5.01.00- ( - ) DEPRECIACAO E AMORTIZACAO"</f>
        <v>1.3.5.01.00- ( - ) DEPRECIACAO E AMORTIZACAO</v>
      </c>
      <c r="B102" s="10">
        <v>-5645817.5499999998</v>
      </c>
      <c r="C102" s="10">
        <v>-21695.01</v>
      </c>
      <c r="D102" s="10">
        <v>-5667512.5599999996</v>
      </c>
    </row>
    <row r="103" spans="1:4" x14ac:dyDescent="0.25">
      <c r="A103" s="2" t="str">
        <f>"1.3.5.01.01- ( - ) Moveis e Utensilios"</f>
        <v>1.3.5.01.01- ( - ) Moveis e Utensilios</v>
      </c>
      <c r="B103" s="10">
        <v>-437601.72</v>
      </c>
      <c r="C103" s="10">
        <v>-2410.8000000000002</v>
      </c>
      <c r="D103" s="10">
        <v>-440012.52</v>
      </c>
    </row>
    <row r="104" spans="1:4" x14ac:dyDescent="0.25">
      <c r="A104" s="2" t="str">
        <f>"1.3.5.01.02- ( - ) Aparelhos/Equipamentos Diversos"</f>
        <v>1.3.5.01.02- ( - ) Aparelhos/Equipamentos Diversos</v>
      </c>
      <c r="B104" s="10">
        <v>-355727.52</v>
      </c>
      <c r="C104" s="10">
        <v>-3741.76</v>
      </c>
      <c r="D104" s="10">
        <v>-359469.28</v>
      </c>
    </row>
    <row r="105" spans="1:4" x14ac:dyDescent="0.25">
      <c r="A105" s="2" t="str">
        <f>"1.3.5.01.03- ( - ) Instalacoes Administrativas"</f>
        <v>1.3.5.01.03- ( - ) Instalacoes Administrativas</v>
      </c>
      <c r="B105" s="10">
        <v>-98874.85</v>
      </c>
      <c r="C105" s="10">
        <v>-71.22</v>
      </c>
      <c r="D105" s="10">
        <v>-98946.07</v>
      </c>
    </row>
    <row r="106" spans="1:4" x14ac:dyDescent="0.25">
      <c r="A106" s="2" t="str">
        <f>"1.3.5.01.05- ( - ) Impressoras e Micros"</f>
        <v>1.3.5.01.05- ( - ) Impressoras e Micros</v>
      </c>
      <c r="B106" s="10">
        <v>-2629666.21</v>
      </c>
      <c r="C106" s="10">
        <v>-7371.91</v>
      </c>
      <c r="D106" s="10">
        <v>-2637038.12</v>
      </c>
    </row>
    <row r="107" spans="1:4" x14ac:dyDescent="0.25">
      <c r="A107" s="2" t="str">
        <f>"1.3.5.01.06- ( - ) Maquinas e Equipamentos"</f>
        <v>1.3.5.01.06- ( - ) Maquinas e Equipamentos</v>
      </c>
      <c r="B107" s="10">
        <v>-153149.68</v>
      </c>
      <c r="C107" s="10">
        <v>-1499.83</v>
      </c>
      <c r="D107" s="10">
        <v>-154649.51</v>
      </c>
    </row>
    <row r="108" spans="1:4" x14ac:dyDescent="0.25">
      <c r="A108" s="2" t="str">
        <f>"1.3.5.01.07- ( - ) Equipamentos de Comunicacao"</f>
        <v>1.3.5.01.07- ( - ) Equipamentos de Comunicacao</v>
      </c>
      <c r="B108" s="10">
        <v>-171816.09</v>
      </c>
      <c r="C108" s="10">
        <v>-78.02</v>
      </c>
      <c r="D108" s="10">
        <v>-171894.11</v>
      </c>
    </row>
    <row r="109" spans="1:4" x14ac:dyDescent="0.25">
      <c r="A109" s="2" t="str">
        <f>"1.3.5.01.08- ( - ) Instalacoes Operacionais"</f>
        <v>1.3.5.01.08- ( - ) Instalacoes Operacionais</v>
      </c>
      <c r="B109" s="10">
        <v>-65870.94</v>
      </c>
      <c r="C109" s="10">
        <v>-272.37</v>
      </c>
      <c r="D109" s="10">
        <v>-66143.31</v>
      </c>
    </row>
    <row r="110" spans="1:4" x14ac:dyDescent="0.25">
      <c r="A110" s="2" t="str">
        <f>"1.3.5.01.09- ( - ) Programas (Softwares)"</f>
        <v>1.3.5.01.09- ( - ) Programas (Softwares)</v>
      </c>
      <c r="B110" s="10">
        <v>-637597.13</v>
      </c>
      <c r="C110" s="10">
        <v>-612.5</v>
      </c>
      <c r="D110" s="10">
        <v>-638209.63</v>
      </c>
    </row>
    <row r="111" spans="1:4" x14ac:dyDescent="0.25">
      <c r="A111" s="2" t="str">
        <f>"1.3.5.01.14- ( - ) Ferramentas"</f>
        <v>1.3.5.01.14- ( - ) Ferramentas</v>
      </c>
      <c r="B111" s="10">
        <v>-7036.42</v>
      </c>
      <c r="C111" s="10">
        <v>-56.85</v>
      </c>
      <c r="D111" s="10">
        <v>-7093.27</v>
      </c>
    </row>
    <row r="112" spans="1:4" x14ac:dyDescent="0.25">
      <c r="A112" s="2" t="str">
        <f>"1.3.5.01.15- ( - ) Imobilizacoes em Imov. Terceiros"</f>
        <v>1.3.5.01.15- ( - ) Imobilizacoes em Imov. Terceiros</v>
      </c>
      <c r="B112" s="10">
        <v>-1088476.99</v>
      </c>
      <c r="C112" s="10">
        <v>-5579.75</v>
      </c>
      <c r="D112" s="10">
        <v>-1094056.74</v>
      </c>
    </row>
    <row r="113" spans="1:4" x14ac:dyDescent="0.25">
      <c r="A113" s="2" t="str">
        <f>""</f>
        <v/>
      </c>
      <c r="B113" s="3" t="str">
        <f>""</f>
        <v/>
      </c>
      <c r="C113" s="3" t="str">
        <f>""</f>
        <v/>
      </c>
      <c r="D113" s="3" t="str">
        <f>""</f>
        <v/>
      </c>
    </row>
    <row r="114" spans="1:4" x14ac:dyDescent="0.25">
      <c r="A114" s="2" t="str">
        <f>"PASSIVO"</f>
        <v>PASSIVO</v>
      </c>
      <c r="B114" s="3" t="str">
        <f>""</f>
        <v/>
      </c>
      <c r="C114" s="3" t="str">
        <f>""</f>
        <v/>
      </c>
      <c r="D114" s="3" t="str">
        <f>""</f>
        <v/>
      </c>
    </row>
    <row r="115" spans="1:4" x14ac:dyDescent="0.25">
      <c r="A115" s="2" t="str">
        <f>"2.0.0.00.00- PASSIVO"</f>
        <v>2.0.0.00.00- PASSIVO</v>
      </c>
      <c r="B115" s="10">
        <v>45996655.649999999</v>
      </c>
      <c r="C115" s="10">
        <v>1574441.15</v>
      </c>
      <c r="D115" s="10">
        <v>47571096.799999997</v>
      </c>
    </row>
    <row r="116" spans="1:4" x14ac:dyDescent="0.25">
      <c r="A116" s="2" t="str">
        <f>"2.1.0.00.00- PASSIVO CIRCULANTE"</f>
        <v>2.1.0.00.00- PASSIVO CIRCULANTE</v>
      </c>
      <c r="B116" s="10">
        <v>70732307.930000007</v>
      </c>
      <c r="C116" s="10">
        <v>1699560.4</v>
      </c>
      <c r="D116" s="10">
        <v>72431868.329999998</v>
      </c>
    </row>
    <row r="117" spans="1:4" x14ac:dyDescent="0.25">
      <c r="A117" s="2" t="str">
        <f>"2.1.1.00.00- OBRIGACOES COM PESSOAL"</f>
        <v>2.1.1.00.00- OBRIGACOES COM PESSOAL</v>
      </c>
      <c r="B117" s="10">
        <v>23876980.710000001</v>
      </c>
      <c r="C117" s="10">
        <v>-746689.07</v>
      </c>
      <c r="D117" s="10">
        <v>23130291.640000001</v>
      </c>
    </row>
    <row r="118" spans="1:4" x14ac:dyDescent="0.25">
      <c r="A118" s="2" t="str">
        <f>"2.1.1.01.00- SALARIOS A PAGAR"</f>
        <v>2.1.1.01.00- SALARIOS A PAGAR</v>
      </c>
      <c r="B118" s="10">
        <v>23876980.710000001</v>
      </c>
      <c r="C118" s="10">
        <v>-746689.07</v>
      </c>
      <c r="D118" s="10">
        <v>23130291.640000001</v>
      </c>
    </row>
    <row r="119" spans="1:4" x14ac:dyDescent="0.25">
      <c r="A119" s="2" t="str">
        <f>"2.1.1.01.01- Salarios a Pagar"</f>
        <v>2.1.1.01.01- Salarios a Pagar</v>
      </c>
      <c r="B119" s="10">
        <v>4900527.51</v>
      </c>
      <c r="C119" s="10">
        <v>-49579.87</v>
      </c>
      <c r="D119" s="10">
        <v>4850947.6399999997</v>
      </c>
    </row>
    <row r="120" spans="1:4" x14ac:dyDescent="0.25">
      <c r="A120" s="2" t="str">
        <f>"2.1.1.01.02- Provisão 13º Salário"</f>
        <v>2.1.1.01.02- Provisão 13º Salário</v>
      </c>
      <c r="B120" s="10">
        <v>3989627.28</v>
      </c>
      <c r="C120" s="10">
        <v>444329.19</v>
      </c>
      <c r="D120" s="10">
        <v>4433956.47</v>
      </c>
    </row>
    <row r="121" spans="1:4" x14ac:dyDescent="0.25">
      <c r="A121" s="2" t="str">
        <f>"2.1.1.01.03- Ferias a pagar"</f>
        <v>2.1.1.01.03- Ferias a pagar</v>
      </c>
      <c r="B121" s="10">
        <v>112492.57</v>
      </c>
      <c r="C121" s="10">
        <v>-109108.56</v>
      </c>
      <c r="D121" s="10">
        <v>3384.01</v>
      </c>
    </row>
    <row r="122" spans="1:4" x14ac:dyDescent="0.25">
      <c r="A122" s="2" t="str">
        <f>"2.1.1.01.05- Rescisoes a Pagar"</f>
        <v>2.1.1.01.05- Rescisoes a Pagar</v>
      </c>
      <c r="B122" s="10">
        <v>22923.09</v>
      </c>
      <c r="C122" s="10">
        <v>-22238.639999999999</v>
      </c>
      <c r="D122" s="10">
        <v>684.45</v>
      </c>
    </row>
    <row r="123" spans="1:4" x14ac:dyDescent="0.25">
      <c r="A123" s="2" t="str">
        <f>"2.1.1.01.09- Provisao de Ferias"</f>
        <v>2.1.1.01.09- Provisao de Ferias</v>
      </c>
      <c r="B123" s="10">
        <v>7056028.8600000003</v>
      </c>
      <c r="C123" s="10">
        <v>-45401.74</v>
      </c>
      <c r="D123" s="10">
        <v>7010627.1200000001</v>
      </c>
    </row>
    <row r="124" spans="1:4" x14ac:dyDescent="0.25">
      <c r="A124" s="2" t="str">
        <f>"2.1.1.01.11- Indenizações trabalhistas - ACT"</f>
        <v>2.1.1.01.11- Indenizações trabalhistas - ACT</v>
      </c>
      <c r="B124" s="10">
        <v>7795381.4000000004</v>
      </c>
      <c r="C124" s="10">
        <v>-964689.45</v>
      </c>
      <c r="D124" s="10">
        <v>6830691.9500000002</v>
      </c>
    </row>
    <row r="125" spans="1:4" x14ac:dyDescent="0.25">
      <c r="A125" s="2" t="str">
        <f>"2.1.2.00.00- OBRIGACOES SOCIAIS A CURTO PRAZO"</f>
        <v>2.1.2.00.00- OBRIGACOES SOCIAIS A CURTO PRAZO</v>
      </c>
      <c r="B125" s="10">
        <v>7446747.2199999997</v>
      </c>
      <c r="C125" s="10">
        <v>193441.41</v>
      </c>
      <c r="D125" s="10">
        <v>7640188.6299999999</v>
      </c>
    </row>
    <row r="126" spans="1:4" x14ac:dyDescent="0.25">
      <c r="A126" s="2" t="str">
        <f>"2.1.2.01.00- OBRIGACOES SOCIAIS A RECOLHER"</f>
        <v>2.1.2.01.00- OBRIGACOES SOCIAIS A RECOLHER</v>
      </c>
      <c r="B126" s="10">
        <v>7446747.2199999997</v>
      </c>
      <c r="C126" s="10">
        <v>193441.41</v>
      </c>
      <c r="D126" s="10">
        <v>7640188.6299999999</v>
      </c>
    </row>
    <row r="127" spans="1:4" x14ac:dyDescent="0.25">
      <c r="A127" s="2" t="str">
        <f>"2.1.2.01.01- INSS a recolher s/Folha Pagto"</f>
        <v>2.1.2.01.01- INSS a recolher s/Folha Pagto</v>
      </c>
      <c r="B127" s="10">
        <v>2352410.0499999998</v>
      </c>
      <c r="C127" s="10">
        <v>37620.339999999997</v>
      </c>
      <c r="D127" s="10">
        <v>2390030.39</v>
      </c>
    </row>
    <row r="128" spans="1:4" x14ac:dyDescent="0.25">
      <c r="A128" s="2" t="str">
        <f>"2.1.2.01.02- FGTS a recolher s/Folha Pagto"</f>
        <v>2.1.2.01.02- FGTS a recolher s/Folha Pagto</v>
      </c>
      <c r="B128" s="10">
        <v>517475.54</v>
      </c>
      <c r="C128" s="10">
        <v>15728.1</v>
      </c>
      <c r="D128" s="10">
        <v>533203.64</v>
      </c>
    </row>
    <row r="129" spans="1:4" x14ac:dyDescent="0.25">
      <c r="A129" s="2" t="str">
        <f>"2.1.2.01.05- Contribuicao Sindical"</f>
        <v>2.1.2.01.05- Contribuicao Sindical</v>
      </c>
      <c r="B129" s="10">
        <v>8021.35</v>
      </c>
      <c r="C129" s="10">
        <v>17.14</v>
      </c>
      <c r="D129" s="10">
        <v>8038.49</v>
      </c>
    </row>
    <row r="130" spans="1:4" x14ac:dyDescent="0.25">
      <c r="A130" s="2" t="str">
        <f>"2.1.2.01.06- INSS s/Provisao de Ferias"</f>
        <v>2.1.2.01.06- INSS s/Provisao de Ferias</v>
      </c>
      <c r="B130" s="10">
        <v>2051926.39</v>
      </c>
      <c r="C130" s="10">
        <v>-11828.96</v>
      </c>
      <c r="D130" s="10">
        <v>2040097.43</v>
      </c>
    </row>
    <row r="131" spans="1:4" x14ac:dyDescent="0.25">
      <c r="A131" s="2" t="str">
        <f>"2.1.2.01.07- AEB - Assoc. Empreg. BHTRANS"</f>
        <v>2.1.2.01.07- AEB - Assoc. Empreg. BHTRANS</v>
      </c>
      <c r="B131" s="10">
        <v>4925.47</v>
      </c>
      <c r="C131" s="10">
        <v>-118.35</v>
      </c>
      <c r="D131" s="10">
        <v>4807.12</v>
      </c>
    </row>
    <row r="132" spans="1:4" x14ac:dyDescent="0.25">
      <c r="A132" s="2" t="str">
        <f>"2.1.2.01.09- INSS a Recolher s/Autonomos"</f>
        <v>2.1.2.01.09- INSS a Recolher s/Autonomos</v>
      </c>
      <c r="B132" s="10">
        <v>0</v>
      </c>
      <c r="C132" s="10">
        <v>1670.64</v>
      </c>
      <c r="D132" s="10">
        <v>1670.64</v>
      </c>
    </row>
    <row r="133" spans="1:4" x14ac:dyDescent="0.25">
      <c r="A133" s="2" t="str">
        <f>"2.1.2.01.10- INSS s/Provisao de 13.Salario"</f>
        <v>2.1.2.01.10- INSS s/Provisao de 13.Salario</v>
      </c>
      <c r="B133" s="10">
        <v>1162552.75</v>
      </c>
      <c r="C133" s="10">
        <v>130513.53</v>
      </c>
      <c r="D133" s="10">
        <v>1293066.28</v>
      </c>
    </row>
    <row r="134" spans="1:4" x14ac:dyDescent="0.25">
      <c r="A134" s="2" t="str">
        <f>"2.1.2.01.11- FGTS s/Provisao de 13.Salario"</f>
        <v>2.1.2.01.11- FGTS s/Provisao de 13.Salario</v>
      </c>
      <c r="B134" s="10">
        <v>137148.97</v>
      </c>
      <c r="C134" s="10">
        <v>34009.800000000003</v>
      </c>
      <c r="D134" s="10">
        <v>171158.77</v>
      </c>
    </row>
    <row r="135" spans="1:4" x14ac:dyDescent="0.25">
      <c r="A135" s="2" t="str">
        <f>"2.1.2.01.12- FGTS s/Provisao de Ferias"</f>
        <v>2.1.2.01.12- FGTS s/Provisao de Ferias</v>
      </c>
      <c r="B135" s="10">
        <v>563506.06000000006</v>
      </c>
      <c r="C135" s="10">
        <v>-3637.52</v>
      </c>
      <c r="D135" s="10">
        <v>559868.54</v>
      </c>
    </row>
    <row r="136" spans="1:4" x14ac:dyDescent="0.25">
      <c r="A136" s="2" t="str">
        <f>"2.1.2.01.13- Contribuicao ao PAMEH"</f>
        <v>2.1.2.01.13- Contribuicao ao PAMEH</v>
      </c>
      <c r="B136" s="10">
        <v>456542.78</v>
      </c>
      <c r="C136" s="10">
        <v>1314.82</v>
      </c>
      <c r="D136" s="10">
        <v>457857.6</v>
      </c>
    </row>
    <row r="137" spans="1:4" x14ac:dyDescent="0.25">
      <c r="A137" s="2" t="str">
        <f>"2.1.2.01.15- Crediserv-BH"</f>
        <v>2.1.2.01.15- Crediserv-BH</v>
      </c>
      <c r="B137" s="10">
        <v>18329.84</v>
      </c>
      <c r="C137" s="10">
        <v>-313</v>
      </c>
      <c r="D137" s="10">
        <v>18016.84</v>
      </c>
    </row>
    <row r="138" spans="1:4" x14ac:dyDescent="0.25">
      <c r="A138" s="2" t="str">
        <f>"2.1.2.01.16- INSS Fonte a Recolher - PJ"</f>
        <v>2.1.2.01.16- INSS Fonte a Recolher - PJ</v>
      </c>
      <c r="B138" s="10">
        <v>172533.89</v>
      </c>
      <c r="C138" s="10">
        <v>-11471.19</v>
      </c>
      <c r="D138" s="10">
        <v>161062.70000000001</v>
      </c>
    </row>
    <row r="139" spans="1:4" x14ac:dyDescent="0.25">
      <c r="A139" s="2" t="str">
        <f>"2.1.2.01.18- INSS Fonte a Recolher - P F"</f>
        <v>2.1.2.01.18- INSS Fonte a Recolher - P F</v>
      </c>
      <c r="B139" s="10">
        <v>834.13</v>
      </c>
      <c r="C139" s="10">
        <v>-63.94</v>
      </c>
      <c r="D139" s="10">
        <v>770.19</v>
      </c>
    </row>
    <row r="140" spans="1:4" x14ac:dyDescent="0.25">
      <c r="A140" s="2" t="str">
        <f>"2.1.2.01.19- ASFIM - PBH"</f>
        <v>2.1.2.01.19- ASFIM - PBH</v>
      </c>
      <c r="B140" s="10">
        <v>540</v>
      </c>
      <c r="C140" s="10">
        <v>0</v>
      </c>
      <c r="D140" s="10">
        <v>540</v>
      </c>
    </row>
    <row r="141" spans="1:4" x14ac:dyDescent="0.25">
      <c r="A141" s="2" t="str">
        <f>"2.1.3.00.00- OBRIGACOES FISCAIS A CURTO PRAZO"</f>
        <v>2.1.3.00.00- OBRIGACOES FISCAIS A CURTO PRAZO</v>
      </c>
      <c r="B141" s="10">
        <v>1716181.56</v>
      </c>
      <c r="C141" s="10">
        <v>20199.07</v>
      </c>
      <c r="D141" s="10">
        <v>1736380.63</v>
      </c>
    </row>
    <row r="142" spans="1:4" x14ac:dyDescent="0.25">
      <c r="A142" s="2" t="str">
        <f>"2.1.3.01.00- IMPOSTOS E TAXAS A RECOLHER"</f>
        <v>2.1.3.01.00- IMPOSTOS E TAXAS A RECOLHER</v>
      </c>
      <c r="B142" s="10">
        <v>1716181.56</v>
      </c>
      <c r="C142" s="10">
        <v>20199.07</v>
      </c>
      <c r="D142" s="10">
        <v>1736380.63</v>
      </c>
    </row>
    <row r="143" spans="1:4" x14ac:dyDescent="0.25">
      <c r="A143" s="2" t="str">
        <f>"2.1.3.01.01- IRRF Fonte Folha Pagto"</f>
        <v>2.1.3.01.01- IRRF Fonte Folha Pagto</v>
      </c>
      <c r="B143" s="10">
        <v>740771.41</v>
      </c>
      <c r="C143" s="10">
        <v>6358.68</v>
      </c>
      <c r="D143" s="10">
        <v>747130.09</v>
      </c>
    </row>
    <row r="144" spans="1:4" x14ac:dyDescent="0.25">
      <c r="A144" s="2" t="str">
        <f>"2.1.3.01.03- IRRF Fonte - Pessoa  Juridica e Física"</f>
        <v>2.1.3.01.03- IRRF Fonte - Pessoa  Juridica e Física</v>
      </c>
      <c r="B144" s="10">
        <v>15555.58</v>
      </c>
      <c r="C144" s="10">
        <v>1269.21</v>
      </c>
      <c r="D144" s="10">
        <v>16824.79</v>
      </c>
    </row>
    <row r="145" spans="1:4" x14ac:dyDescent="0.25">
      <c r="A145" s="2" t="str">
        <f>"2.1.3.01.05- ISS S/ Faturamento"</f>
        <v>2.1.3.01.05- ISS S/ Faturamento</v>
      </c>
      <c r="B145" s="10">
        <v>2663.92</v>
      </c>
      <c r="C145" s="10">
        <v>-114.92</v>
      </c>
      <c r="D145" s="10">
        <v>2549</v>
      </c>
    </row>
    <row r="146" spans="1:4" x14ac:dyDescent="0.25">
      <c r="A146" s="2" t="str">
        <f>"2.1.3.01.07- COFINS a Recolher"</f>
        <v>2.1.3.01.07- COFINS a Recolher</v>
      </c>
      <c r="B146" s="10">
        <v>716363.34</v>
      </c>
      <c r="C146" s="10">
        <v>2471.9</v>
      </c>
      <c r="D146" s="10">
        <v>718835.24</v>
      </c>
    </row>
    <row r="147" spans="1:4" x14ac:dyDescent="0.25">
      <c r="A147" s="2" t="str">
        <f>"2.1.3.01.08- PIS a Recolher"</f>
        <v>2.1.3.01.08- PIS a Recolher</v>
      </c>
      <c r="B147" s="10">
        <v>155301.32</v>
      </c>
      <c r="C147" s="10">
        <v>303.25</v>
      </c>
      <c r="D147" s="10">
        <v>155604.57</v>
      </c>
    </row>
    <row r="148" spans="1:4" x14ac:dyDescent="0.25">
      <c r="A148" s="2" t="str">
        <f>"2.1.3.01.09- ISS Fonte a Recolher P.Juridica"</f>
        <v>2.1.3.01.09- ISS Fonte a Recolher P.Juridica</v>
      </c>
      <c r="B148" s="10">
        <v>1812.7</v>
      </c>
      <c r="C148" s="10">
        <v>6901.4</v>
      </c>
      <c r="D148" s="10">
        <v>8714.1</v>
      </c>
    </row>
    <row r="149" spans="1:4" x14ac:dyDescent="0.25">
      <c r="A149" s="2" t="str">
        <f>"2.1.3.01.12- CSLL-COFINS-PIS - FONTE"</f>
        <v>2.1.3.01.12- CSLL-COFINS-PIS - FONTE</v>
      </c>
      <c r="B149" s="10">
        <v>83713.289999999994</v>
      </c>
      <c r="C149" s="10">
        <v>3009.55</v>
      </c>
      <c r="D149" s="10">
        <v>86722.84</v>
      </c>
    </row>
    <row r="150" spans="1:4" x14ac:dyDescent="0.25">
      <c r="A150" s="2" t="str">
        <f>"2.1.4.00.00- OUTRAS OBRIGACOES A CURTO PRAZO"</f>
        <v>2.1.4.00.00- OUTRAS OBRIGACOES A CURTO PRAZO</v>
      </c>
      <c r="B150" s="10">
        <v>37580704.960000001</v>
      </c>
      <c r="C150" s="10">
        <v>2221716.21</v>
      </c>
      <c r="D150" s="10">
        <v>39802421.170000002</v>
      </c>
    </row>
    <row r="151" spans="1:4" x14ac:dyDescent="0.25">
      <c r="A151" s="2" t="str">
        <f>"2.1.4.01.00- FORNECEDORES"</f>
        <v>2.1.4.01.00- FORNECEDORES</v>
      </c>
      <c r="B151" s="10">
        <v>2880313.03</v>
      </c>
      <c r="C151" s="10">
        <v>2832.35</v>
      </c>
      <c r="D151" s="10">
        <v>2883145.38</v>
      </c>
    </row>
    <row r="152" spans="1:4" x14ac:dyDescent="0.25">
      <c r="A152" s="2" t="str">
        <f>"2.1.4.01.99- Fornecedores"</f>
        <v>2.1.4.01.99- Fornecedores</v>
      </c>
      <c r="B152" s="10">
        <v>2880313.03</v>
      </c>
      <c r="C152" s="10">
        <v>2832.35</v>
      </c>
      <c r="D152" s="10">
        <v>2883145.38</v>
      </c>
    </row>
    <row r="153" spans="1:4" x14ac:dyDescent="0.25">
      <c r="A153" s="2" t="str">
        <f>"2.1.4.02.00- CONTAS A PAGAR"</f>
        <v>2.1.4.02.00- CONTAS A PAGAR</v>
      </c>
      <c r="B153" s="10">
        <v>409217.23</v>
      </c>
      <c r="C153" s="10">
        <v>-114603.27</v>
      </c>
      <c r="D153" s="10">
        <v>294613.96000000002</v>
      </c>
    </row>
    <row r="154" spans="1:4" x14ac:dyDescent="0.25">
      <c r="A154" s="2" t="str">
        <f>"2.1.4.02.01- Emprestimo Consignado - Bradesco"</f>
        <v>2.1.4.02.01- Emprestimo Consignado - Bradesco</v>
      </c>
      <c r="B154" s="10">
        <v>92329.52</v>
      </c>
      <c r="C154" s="10">
        <v>686.51</v>
      </c>
      <c r="D154" s="10">
        <v>93016.03</v>
      </c>
    </row>
    <row r="155" spans="1:4" x14ac:dyDescent="0.25">
      <c r="A155" s="2" t="str">
        <f>"2.1.4.02.03- Emprestimo Consignado - CEF"</f>
        <v>2.1.4.02.03- Emprestimo Consignado - CEF</v>
      </c>
      <c r="B155" s="10">
        <v>34857.58</v>
      </c>
      <c r="C155" s="10">
        <v>-1338.54</v>
      </c>
      <c r="D155" s="10">
        <v>33519.040000000001</v>
      </c>
    </row>
    <row r="156" spans="1:4" x14ac:dyDescent="0.25">
      <c r="A156" s="2" t="str">
        <f>"2.1.4.02.04- Emprestimo Consignado - B.Brasil"</f>
        <v>2.1.4.02.04- Emprestimo Consignado - B.Brasil</v>
      </c>
      <c r="B156" s="10">
        <v>58295.11</v>
      </c>
      <c r="C156" s="10">
        <v>-2.74</v>
      </c>
      <c r="D156" s="10">
        <v>58292.37</v>
      </c>
    </row>
    <row r="157" spans="1:4" x14ac:dyDescent="0.25">
      <c r="A157" s="2" t="str">
        <f>"2.1.4.02.05- Emprestimo Consignado-Banco Alfa"</f>
        <v>2.1.4.02.05- Emprestimo Consignado-Banco Alfa</v>
      </c>
      <c r="B157" s="10">
        <v>71128.36</v>
      </c>
      <c r="C157" s="10">
        <v>-517.29</v>
      </c>
      <c r="D157" s="10">
        <v>70611.070000000007</v>
      </c>
    </row>
    <row r="158" spans="1:4" x14ac:dyDescent="0.25">
      <c r="A158" s="2" t="str">
        <f>"2.1.4.02.07- Emprestimo Consignado - B. Safra"</f>
        <v>2.1.4.02.07- Emprestimo Consignado - B. Safra</v>
      </c>
      <c r="B158" s="10">
        <v>16705.47</v>
      </c>
      <c r="C158" s="10">
        <v>1376.92</v>
      </c>
      <c r="D158" s="10">
        <v>18082.39</v>
      </c>
    </row>
    <row r="159" spans="1:4" x14ac:dyDescent="0.25">
      <c r="A159" s="2" t="str">
        <f>"2.1.4.02.08- Emprestimo Consignado - BMG"</f>
        <v>2.1.4.02.08- Emprestimo Consignado - BMG</v>
      </c>
      <c r="B159" s="10">
        <v>141.55000000000001</v>
      </c>
      <c r="C159" s="10">
        <v>0</v>
      </c>
      <c r="D159" s="10">
        <v>141.55000000000001</v>
      </c>
    </row>
    <row r="160" spans="1:4" x14ac:dyDescent="0.25">
      <c r="A160" s="2" t="str">
        <f>"2.1.4.02.09- Emprestimo Consignado - BMC"</f>
        <v>2.1.4.02.09- Emprestimo Consignado - BMC</v>
      </c>
      <c r="B160" s="10">
        <v>1000.35</v>
      </c>
      <c r="C160" s="10">
        <v>0</v>
      </c>
      <c r="D160" s="10">
        <v>1000.35</v>
      </c>
    </row>
    <row r="161" spans="1:4" x14ac:dyDescent="0.25">
      <c r="A161" s="2" t="str">
        <f>"2.1.4.02.10- Cartão - BMG Card"</f>
        <v>2.1.4.02.10- Cartão - BMG Card</v>
      </c>
      <c r="B161" s="10">
        <v>7529.47</v>
      </c>
      <c r="C161" s="10">
        <v>399.47</v>
      </c>
      <c r="D161" s="10">
        <v>7928.94</v>
      </c>
    </row>
    <row r="162" spans="1:4" x14ac:dyDescent="0.25">
      <c r="A162" s="2" t="str">
        <f>"2.1.4.02.12- Custas judiciais"</f>
        <v>2.1.4.02.12- Custas judiciais</v>
      </c>
      <c r="B162" s="10">
        <v>1294.29</v>
      </c>
      <c r="C162" s="10">
        <v>-1294.29</v>
      </c>
      <c r="D162" s="10">
        <v>0</v>
      </c>
    </row>
    <row r="163" spans="1:4" x14ac:dyDescent="0.25">
      <c r="A163" s="2" t="str">
        <f>"2.1.4.02.99- Contas a Pagar"</f>
        <v>2.1.4.02.99- Contas a Pagar</v>
      </c>
      <c r="B163" s="10">
        <v>125935.53</v>
      </c>
      <c r="C163" s="10">
        <v>-113913.31</v>
      </c>
      <c r="D163" s="10">
        <v>12022.22</v>
      </c>
    </row>
    <row r="164" spans="1:4" x14ac:dyDescent="0.25">
      <c r="A164" s="2" t="str">
        <f>"2.1.4.03.00- CREDORES DIVERSOS"</f>
        <v>2.1.4.03.00- CREDORES DIVERSOS</v>
      </c>
      <c r="B164" s="10">
        <v>33531701.120000001</v>
      </c>
      <c r="C164" s="10">
        <v>2531500.17</v>
      </c>
      <c r="D164" s="10">
        <v>36063201.289999999</v>
      </c>
    </row>
    <row r="165" spans="1:4" x14ac:dyDescent="0.25">
      <c r="A165" s="2" t="str">
        <f>"2.1.4.03.07- Adiantamento Acionista - Municipio BH"</f>
        <v>2.1.4.03.07- Adiantamento Acionista - Municipio BH</v>
      </c>
      <c r="B165" s="10">
        <v>32608167.489999998</v>
      </c>
      <c r="C165" s="10">
        <v>2480630.27</v>
      </c>
      <c r="D165" s="10">
        <v>35088797.759999998</v>
      </c>
    </row>
    <row r="166" spans="1:4" x14ac:dyDescent="0.25">
      <c r="A166" s="2" t="str">
        <f>"2.1.4.03.17- Adiantamento de Clientes"</f>
        <v>2.1.4.03.17- Adiantamento de Clientes</v>
      </c>
      <c r="B166" s="10">
        <v>923533.63</v>
      </c>
      <c r="C166" s="10">
        <v>50869.9</v>
      </c>
      <c r="D166" s="10">
        <v>974403.53</v>
      </c>
    </row>
    <row r="167" spans="1:4" x14ac:dyDescent="0.25">
      <c r="A167" s="2" t="str">
        <f>"2.1.4.04.00- CAUCAO DE TERCEIROS/LEILAO"</f>
        <v>2.1.4.04.00- CAUCAO DE TERCEIROS/LEILAO</v>
      </c>
      <c r="B167" s="10">
        <v>759473.58</v>
      </c>
      <c r="C167" s="10">
        <v>-198013.04</v>
      </c>
      <c r="D167" s="10">
        <v>561460.54</v>
      </c>
    </row>
    <row r="168" spans="1:4" x14ac:dyDescent="0.25">
      <c r="A168" s="2" t="str">
        <f>"2.1.4.04.98- Leilões"</f>
        <v>2.1.4.04.98- Leilões</v>
      </c>
      <c r="B168" s="10">
        <v>572864.04</v>
      </c>
      <c r="C168" s="10">
        <v>-198013.04</v>
      </c>
      <c r="D168" s="10">
        <v>374851</v>
      </c>
    </row>
    <row r="169" spans="1:4" x14ac:dyDescent="0.25">
      <c r="A169" s="2" t="str">
        <f>"2.1.4.04.99- Caucao de Terceiros"</f>
        <v>2.1.4.04.99- Caucao de Terceiros</v>
      </c>
      <c r="B169" s="10">
        <v>186609.54</v>
      </c>
      <c r="C169" s="10">
        <v>0</v>
      </c>
      <c r="D169" s="10">
        <v>186609.54</v>
      </c>
    </row>
    <row r="170" spans="1:4" x14ac:dyDescent="0.25">
      <c r="A170" s="2" t="str">
        <f>"2.1.6.00.00- OBRIGACOES VINC. A PAGAR-PAMEH"</f>
        <v>2.1.6.00.00- OBRIGACOES VINC. A PAGAR-PAMEH</v>
      </c>
      <c r="B170" s="10">
        <v>111693.48</v>
      </c>
      <c r="C170" s="10">
        <v>10892.78</v>
      </c>
      <c r="D170" s="10">
        <v>122586.26</v>
      </c>
    </row>
    <row r="171" spans="1:4" x14ac:dyDescent="0.25">
      <c r="A171" s="2" t="str">
        <f>"2.1.6.01.00- OBRIGACOES VINC. -PAMEH"</f>
        <v>2.1.6.01.00- OBRIGACOES VINC. -PAMEH</v>
      </c>
      <c r="B171" s="10">
        <v>111693.48</v>
      </c>
      <c r="C171" s="10">
        <v>10892.78</v>
      </c>
      <c r="D171" s="10">
        <v>122586.26</v>
      </c>
    </row>
    <row r="172" spans="1:4" x14ac:dyDescent="0.25">
      <c r="A172" s="2" t="str">
        <f>"2.1.6.01.01- Obrigacoes Vinculadas - PAMEH"</f>
        <v>2.1.6.01.01- Obrigacoes Vinculadas - PAMEH</v>
      </c>
      <c r="B172" s="10">
        <v>111693.48</v>
      </c>
      <c r="C172" s="10">
        <v>10892.78</v>
      </c>
      <c r="D172" s="10">
        <v>122586.26</v>
      </c>
    </row>
    <row r="173" spans="1:4" x14ac:dyDescent="0.25">
      <c r="A173" s="2" t="str">
        <f>"2.2.0.00.00- PASSIVO NAO CIRCULANTE"</f>
        <v>2.2.0.00.00- PASSIVO NAO CIRCULANTE</v>
      </c>
      <c r="B173" s="10">
        <v>39225414.340000004</v>
      </c>
      <c r="C173" s="10">
        <v>-112820.12</v>
      </c>
      <c r="D173" s="10">
        <v>39112594.219999999</v>
      </c>
    </row>
    <row r="174" spans="1:4" x14ac:dyDescent="0.25">
      <c r="A174" s="2" t="str">
        <f>"2.2.4.00.00- OUTRAS OBRIGACOES A LONGO PRAZO"</f>
        <v>2.2.4.00.00- OUTRAS OBRIGACOES A LONGO PRAZO</v>
      </c>
      <c r="B174" s="10">
        <v>35540544.32</v>
      </c>
      <c r="C174" s="10">
        <v>-856.91</v>
      </c>
      <c r="D174" s="10">
        <v>35539687.409999996</v>
      </c>
    </row>
    <row r="175" spans="1:4" x14ac:dyDescent="0.25">
      <c r="A175" s="2" t="str">
        <f>"2.2.4.01.00- CREDORES DIVERSOS"</f>
        <v>2.2.4.01.00- CREDORES DIVERSOS</v>
      </c>
      <c r="B175" s="10">
        <v>15048557.66</v>
      </c>
      <c r="C175" s="10">
        <v>0</v>
      </c>
      <c r="D175" s="10">
        <v>15048557.66</v>
      </c>
    </row>
    <row r="176" spans="1:4" x14ac:dyDescent="0.25">
      <c r="A176" s="2" t="str">
        <f>"2.2.4.01.04- Provisão para Contingências Fiscais"</f>
        <v>2.2.4.01.04- Provisão para Contingências Fiscais</v>
      </c>
      <c r="B176" s="10">
        <v>14106702.720000001</v>
      </c>
      <c r="C176" s="10">
        <v>0</v>
      </c>
      <c r="D176" s="10">
        <v>14106702.720000001</v>
      </c>
    </row>
    <row r="177" spans="1:4" x14ac:dyDescent="0.25">
      <c r="A177" s="2" t="str">
        <f>"2.2.4.01.05- INSS Segurados"</f>
        <v>2.2.4.01.05- INSS Segurados</v>
      </c>
      <c r="B177" s="10">
        <v>941854.94</v>
      </c>
      <c r="C177" s="10">
        <v>0</v>
      </c>
      <c r="D177" s="10">
        <v>941854.94</v>
      </c>
    </row>
    <row r="178" spans="1:4" x14ac:dyDescent="0.25">
      <c r="A178" s="2" t="str">
        <f>"2.2.4.04.00- ACOES JUDICIAIS E TRABALHISTAS"</f>
        <v>2.2.4.04.00- ACOES JUDICIAIS E TRABALHISTAS</v>
      </c>
      <c r="B178" s="10">
        <v>20491986.66</v>
      </c>
      <c r="C178" s="10">
        <v>-856.91</v>
      </c>
      <c r="D178" s="10">
        <v>20491129.75</v>
      </c>
    </row>
    <row r="179" spans="1:4" x14ac:dyDescent="0.25">
      <c r="A179" s="2" t="str">
        <f>"2.2.4.04.01- Acoes judiciais"</f>
        <v>2.2.4.04.01- Acoes judiciais</v>
      </c>
      <c r="B179" s="10">
        <v>16361887.84</v>
      </c>
      <c r="C179" s="10">
        <v>155.72</v>
      </c>
      <c r="D179" s="10">
        <v>16362043.560000001</v>
      </c>
    </row>
    <row r="180" spans="1:4" x14ac:dyDescent="0.25">
      <c r="A180" s="2" t="str">
        <f>"2.2.4.04.02- Acoes trabalhistas"</f>
        <v>2.2.4.04.02- Acoes trabalhistas</v>
      </c>
      <c r="B180" s="10">
        <v>4130098.82</v>
      </c>
      <c r="C180" s="10">
        <v>-1012.63</v>
      </c>
      <c r="D180" s="10">
        <v>4129086.19</v>
      </c>
    </row>
    <row r="181" spans="1:4" x14ac:dyDescent="0.25">
      <c r="A181" s="2" t="str">
        <f>"2.2.5.00.00- OBRIGACOES VINC.  AO PAMEH"</f>
        <v>2.2.5.00.00- OBRIGACOES VINC.  AO PAMEH</v>
      </c>
      <c r="B181" s="10">
        <v>3684870.02</v>
      </c>
      <c r="C181" s="10">
        <v>-111963.21</v>
      </c>
      <c r="D181" s="10">
        <v>3572906.81</v>
      </c>
    </row>
    <row r="182" spans="1:4" x14ac:dyDescent="0.25">
      <c r="A182" s="2" t="str">
        <f>"2.2.5.01.00- OBRIGACOES VINC.  AO PAMEH"</f>
        <v>2.2.5.01.00- OBRIGACOES VINC.  AO PAMEH</v>
      </c>
      <c r="B182" s="10">
        <v>3684870.02</v>
      </c>
      <c r="C182" s="10">
        <v>-111963.21</v>
      </c>
      <c r="D182" s="10">
        <v>3572906.81</v>
      </c>
    </row>
    <row r="183" spans="1:4" x14ac:dyDescent="0.25">
      <c r="A183" s="2" t="str">
        <f>"2.2.5.01.01- Resultado Exerc.Anteriores-PAMEH"</f>
        <v>2.2.5.01.01- Resultado Exerc.Anteriores-PAMEH</v>
      </c>
      <c r="B183" s="10">
        <v>3457128.18</v>
      </c>
      <c r="C183" s="10">
        <v>0</v>
      </c>
      <c r="D183" s="10">
        <v>3457128.18</v>
      </c>
    </row>
    <row r="184" spans="1:4" x14ac:dyDescent="0.25">
      <c r="A184" s="2" t="str">
        <f>"2.2.5.01.02- Resultado deste Exercicio-PAMEH"</f>
        <v>2.2.5.01.02- Resultado deste Exercicio-PAMEH</v>
      </c>
      <c r="B184" s="10">
        <v>-1362199.93</v>
      </c>
      <c r="C184" s="10">
        <v>-111963.21</v>
      </c>
      <c r="D184" s="10">
        <v>-1474163.14</v>
      </c>
    </row>
    <row r="185" spans="1:4" x14ac:dyDescent="0.25">
      <c r="A185" s="2" t="str">
        <f>"2.2.5.01.03- Ajuste Exercício Anterior - PAMEH"</f>
        <v>2.2.5.01.03- Ajuste Exercício Anterior - PAMEH</v>
      </c>
      <c r="B185" s="10">
        <v>1589941.77</v>
      </c>
      <c r="C185" s="10">
        <v>0</v>
      </c>
      <c r="D185" s="10">
        <v>1589941.77</v>
      </c>
    </row>
    <row r="186" spans="1:4" x14ac:dyDescent="0.25">
      <c r="A186" s="2" t="str">
        <f>"2.4.0.00.00- PATRIMONIO LIQUIDO"</f>
        <v>2.4.0.00.00- PATRIMONIO LIQUIDO</v>
      </c>
      <c r="B186" s="10">
        <v>-63961066.619999997</v>
      </c>
      <c r="C186" s="10">
        <v>-12299.13</v>
      </c>
      <c r="D186" s="10">
        <v>-63973365.75</v>
      </c>
    </row>
    <row r="187" spans="1:4" x14ac:dyDescent="0.25">
      <c r="A187" s="2" t="str">
        <f>"2.4.1.00.00- CAPITAL SOCIAL"</f>
        <v>2.4.1.00.00- CAPITAL SOCIAL</v>
      </c>
      <c r="B187" s="10">
        <v>67418193.159999996</v>
      </c>
      <c r="C187" s="10">
        <v>0</v>
      </c>
      <c r="D187" s="10">
        <v>67418193.159999996</v>
      </c>
    </row>
    <row r="188" spans="1:4" x14ac:dyDescent="0.25">
      <c r="A188" s="2" t="str">
        <f>"2.4.1.02.00- CAPITAL REALIZADO"</f>
        <v>2.4.1.02.00- CAPITAL REALIZADO</v>
      </c>
      <c r="B188" s="10">
        <v>67418193.159999996</v>
      </c>
      <c r="C188" s="10">
        <v>0</v>
      </c>
      <c r="D188" s="10">
        <v>67418193.159999996</v>
      </c>
    </row>
    <row r="189" spans="1:4" x14ac:dyDescent="0.25">
      <c r="A189" s="2" t="str">
        <f>"2.4.1.02.01- Capital Subscrito"</f>
        <v>2.4.1.02.01- Capital Subscrito</v>
      </c>
      <c r="B189" s="10">
        <v>75000000</v>
      </c>
      <c r="C189" s="10">
        <v>0</v>
      </c>
      <c r="D189" s="10">
        <v>75000000</v>
      </c>
    </row>
    <row r="190" spans="1:4" x14ac:dyDescent="0.25">
      <c r="A190" s="2" t="str">
        <f>"2.4.1.02.04- Capital a Realizar"</f>
        <v>2.4.1.02.04- Capital a Realizar</v>
      </c>
      <c r="B190" s="10">
        <v>-7581806.8399999999</v>
      </c>
      <c r="C190" s="10">
        <v>0</v>
      </c>
      <c r="D190" s="10">
        <v>-7581806.8399999999</v>
      </c>
    </row>
    <row r="191" spans="1:4" x14ac:dyDescent="0.25">
      <c r="A191" s="2" t="str">
        <f>"2.4.3.00.00- RESULTADOS ACUMULADOS"</f>
        <v>2.4.3.00.00- RESULTADOS ACUMULADOS</v>
      </c>
      <c r="B191" s="10">
        <v>-131379259.78</v>
      </c>
      <c r="C191" s="10">
        <v>-12299.13</v>
      </c>
      <c r="D191" s="10">
        <v>-131391558.91</v>
      </c>
    </row>
    <row r="192" spans="1:4" x14ac:dyDescent="0.25">
      <c r="A192" s="2" t="str">
        <f>"2.4.3.01.00- LUCROS/PREJUIZOS ACUMULADOS"</f>
        <v>2.4.3.01.00- LUCROS/PREJUIZOS ACUMULADOS</v>
      </c>
      <c r="B192" s="10">
        <v>-131379259.78</v>
      </c>
      <c r="C192" s="10">
        <v>-12299.13</v>
      </c>
      <c r="D192" s="10">
        <v>-131391558.91</v>
      </c>
    </row>
    <row r="193" spans="1:4" x14ac:dyDescent="0.25">
      <c r="A193" s="2" t="str">
        <f>"2.4.3.01.01- Resultados de Exerc. Anteriores"</f>
        <v>2.4.3.01.01- Resultados de Exerc. Anteriores</v>
      </c>
      <c r="B193" s="10">
        <v>-131329846.40000001</v>
      </c>
      <c r="C193" s="10">
        <v>0</v>
      </c>
      <c r="D193" s="10">
        <v>-131329846.40000001</v>
      </c>
    </row>
    <row r="194" spans="1:4" x14ac:dyDescent="0.25">
      <c r="A194" s="2" t="str">
        <f>"2.4.3.01.03- Ajuste do Exercicio Anterior"</f>
        <v>2.4.3.01.03- Ajuste do Exercicio Anterior</v>
      </c>
      <c r="B194" s="10">
        <v>-49413.38</v>
      </c>
      <c r="C194" s="10">
        <v>-12299.13</v>
      </c>
      <c r="D194" s="10">
        <v>-61712.51</v>
      </c>
    </row>
    <row r="195" spans="1:4" x14ac:dyDescent="0.25">
      <c r="A195" s="2" t="str">
        <f>""</f>
        <v/>
      </c>
      <c r="B195" s="3" t="str">
        <f>""</f>
        <v/>
      </c>
      <c r="C195" s="3" t="str">
        <f>""</f>
        <v/>
      </c>
      <c r="D195" s="3" t="str">
        <f>""</f>
        <v/>
      </c>
    </row>
    <row r="196" spans="1:4" x14ac:dyDescent="0.25">
      <c r="A196" s="2" t="str">
        <f>""</f>
        <v/>
      </c>
      <c r="B196" s="3" t="str">
        <f>""</f>
        <v/>
      </c>
      <c r="C196" s="3" t="str">
        <f>""</f>
        <v/>
      </c>
      <c r="D196" s="3" t="str">
        <f>""</f>
        <v/>
      </c>
    </row>
    <row r="197" spans="1:4" x14ac:dyDescent="0.25">
      <c r="A197" s="2" t="str">
        <f>""</f>
        <v/>
      </c>
      <c r="B197" s="3" t="str">
        <f>""</f>
        <v/>
      </c>
      <c r="C197" s="3" t="str">
        <f>""</f>
        <v/>
      </c>
      <c r="D197" s="3" t="str">
        <f>""</f>
        <v/>
      </c>
    </row>
    <row r="198" spans="1:4" x14ac:dyDescent="0.25">
      <c r="A198" s="2" t="str">
        <f>""</f>
        <v/>
      </c>
      <c r="B198" s="3" t="str">
        <f>""</f>
        <v/>
      </c>
      <c r="C198" s="3" t="str">
        <f>""</f>
        <v/>
      </c>
      <c r="D198" s="3" t="str">
        <f>""</f>
        <v/>
      </c>
    </row>
    <row r="199" spans="1:4" x14ac:dyDescent="0.25">
      <c r="A199" s="2" t="str">
        <f>""</f>
        <v/>
      </c>
      <c r="B199" s="3" t="str">
        <f>""</f>
        <v/>
      </c>
      <c r="C199" s="3" t="str">
        <f>""</f>
        <v/>
      </c>
      <c r="D199" s="3" t="str">
        <f>""</f>
        <v/>
      </c>
    </row>
    <row r="200" spans="1:4" x14ac:dyDescent="0.25">
      <c r="A200" s="2" t="str">
        <f>""</f>
        <v/>
      </c>
      <c r="B200" s="3" t="str">
        <f>""</f>
        <v/>
      </c>
      <c r="C200" s="3" t="str">
        <f>""</f>
        <v/>
      </c>
      <c r="D200" s="3" t="str">
        <f>""</f>
        <v/>
      </c>
    </row>
    <row r="201" spans="1:4" x14ac:dyDescent="0.25">
      <c r="A201" s="2" t="str">
        <f>""</f>
        <v/>
      </c>
      <c r="B201" s="3" t="str">
        <f>""</f>
        <v/>
      </c>
      <c r="C201" s="3" t="str">
        <f>""</f>
        <v/>
      </c>
      <c r="D201" s="3" t="str">
        <f>""</f>
        <v/>
      </c>
    </row>
    <row r="202" spans="1:4" x14ac:dyDescent="0.25">
      <c r="A202" s="2" t="str">
        <f>"DESPESAS"</f>
        <v>DESPESAS</v>
      </c>
      <c r="B202" s="3" t="str">
        <f>""</f>
        <v/>
      </c>
      <c r="C202" s="3" t="str">
        <f>""</f>
        <v/>
      </c>
      <c r="D202" s="3" t="str">
        <f>""</f>
        <v/>
      </c>
    </row>
    <row r="203" spans="1:4" x14ac:dyDescent="0.25">
      <c r="A203" s="2" t="str">
        <f>"3.0.0.00.00- DESPESAS"</f>
        <v>3.0.0.00.00- DESPESAS</v>
      </c>
      <c r="B203" s="10">
        <v>114492129.16</v>
      </c>
      <c r="C203" s="10">
        <v>13069096.310000001</v>
      </c>
      <c r="D203" s="10">
        <v>127561225.47</v>
      </c>
    </row>
    <row r="204" spans="1:4" x14ac:dyDescent="0.25">
      <c r="A204" s="2" t="str">
        <f>"3.1.0.00.00- DESPESAS OPERACIONAIS"</f>
        <v>3.1.0.00.00- DESPESAS OPERACIONAIS</v>
      </c>
      <c r="B204" s="10">
        <v>114492129.16</v>
      </c>
      <c r="C204" s="10">
        <v>13069096.310000001</v>
      </c>
      <c r="D204" s="10">
        <v>127561225.47</v>
      </c>
    </row>
    <row r="205" spans="1:4" x14ac:dyDescent="0.25">
      <c r="A205" s="2" t="str">
        <f>"3.1.1.00.00- SALARIOS ADICIONAIS E HONORARIOS"</f>
        <v>3.1.1.00.00- SALARIOS ADICIONAIS E HONORARIOS</v>
      </c>
      <c r="B205" s="10">
        <v>57319387.759999998</v>
      </c>
      <c r="C205" s="10">
        <v>6608784.5700000003</v>
      </c>
      <c r="D205" s="10">
        <v>63928172.329999998</v>
      </c>
    </row>
    <row r="206" spans="1:4" x14ac:dyDescent="0.25">
      <c r="A206" s="2" t="str">
        <f>"3.1.1.00.01- Honorarios diretoria"</f>
        <v>3.1.1.00.01- Honorarios diretoria</v>
      </c>
      <c r="B206" s="10">
        <v>692193.74</v>
      </c>
      <c r="C206" s="10">
        <v>89146.42</v>
      </c>
      <c r="D206" s="10">
        <v>781340.16000000003</v>
      </c>
    </row>
    <row r="207" spans="1:4" x14ac:dyDescent="0.25">
      <c r="A207" s="2" t="str">
        <f>"3.1.1.00.02- Honorarios conselho fiscal"</f>
        <v>3.1.1.00.02- Honorarios conselho fiscal</v>
      </c>
      <c r="B207" s="10">
        <v>47812.32</v>
      </c>
      <c r="C207" s="10">
        <v>5311.5</v>
      </c>
      <c r="D207" s="10">
        <v>53123.82</v>
      </c>
    </row>
    <row r="208" spans="1:4" x14ac:dyDescent="0.25">
      <c r="A208" s="2" t="str">
        <f>"3.1.1.00.03- Honorarios cons. administracao"</f>
        <v>3.1.1.00.03- Honorarios cons. administracao</v>
      </c>
      <c r="B208" s="10">
        <v>95540.99</v>
      </c>
      <c r="C208" s="10">
        <v>10613.71</v>
      </c>
      <c r="D208" s="10">
        <v>106154.7</v>
      </c>
    </row>
    <row r="209" spans="1:4" x14ac:dyDescent="0.25">
      <c r="A209" s="2" t="str">
        <f>"3.1.1.00.04- Salarios e adicionais"</f>
        <v>3.1.1.00.04- Salarios e adicionais</v>
      </c>
      <c r="B209" s="10">
        <v>43620387.350000001</v>
      </c>
      <c r="C209" s="10">
        <v>5379591.2999999998</v>
      </c>
      <c r="D209" s="10">
        <v>48999978.649999999</v>
      </c>
    </row>
    <row r="210" spans="1:4" x14ac:dyDescent="0.25">
      <c r="A210" s="2" t="str">
        <f>"3.1.1.00.05- Ferias e abono pecuniario"</f>
        <v>3.1.1.00.05- Ferias e abono pecuniario</v>
      </c>
      <c r="B210" s="10">
        <v>6588916.29</v>
      </c>
      <c r="C210" s="10">
        <v>660408.69999999995</v>
      </c>
      <c r="D210" s="10">
        <v>7249324.9900000002</v>
      </c>
    </row>
    <row r="211" spans="1:4" x14ac:dyDescent="0.25">
      <c r="A211" s="2" t="str">
        <f>"3.1.1.00.06- Decimo terceiro salario"</f>
        <v>3.1.1.00.06- Decimo terceiro salario</v>
      </c>
      <c r="B211" s="10">
        <v>4048037.22</v>
      </c>
      <c r="C211" s="10">
        <v>446958.83</v>
      </c>
      <c r="D211" s="10">
        <v>4494996.05</v>
      </c>
    </row>
    <row r="212" spans="1:4" x14ac:dyDescent="0.25">
      <c r="A212" s="2" t="str">
        <f>"3.1.1.00.07- Indenizacoes trabalhistas"</f>
        <v>3.1.1.00.07- Indenizacoes trabalhistas</v>
      </c>
      <c r="B212" s="10">
        <v>135807.25</v>
      </c>
      <c r="C212" s="10">
        <v>3270.53</v>
      </c>
      <c r="D212" s="10">
        <v>139077.78</v>
      </c>
    </row>
    <row r="213" spans="1:4" x14ac:dyDescent="0.25">
      <c r="A213" s="2" t="str">
        <f>"3.1.1.00.08- Bolsas de estagiario"</f>
        <v>3.1.1.00.08- Bolsas de estagiario</v>
      </c>
      <c r="B213" s="10">
        <v>128863.17</v>
      </c>
      <c r="C213" s="10">
        <v>13483.58</v>
      </c>
      <c r="D213" s="10">
        <v>142346.75</v>
      </c>
    </row>
    <row r="214" spans="1:4" x14ac:dyDescent="0.25">
      <c r="A214" s="2" t="str">
        <f>"3.1.1.00.10- Indenizações trabalhistas - ACT"</f>
        <v>3.1.1.00.10- Indenizações trabalhistas - ACT</v>
      </c>
      <c r="B214" s="10">
        <v>1961829.43</v>
      </c>
      <c r="C214" s="10">
        <v>0</v>
      </c>
      <c r="D214" s="10">
        <v>1961829.43</v>
      </c>
    </row>
    <row r="215" spans="1:4" x14ac:dyDescent="0.25">
      <c r="A215" s="2" t="str">
        <f>"3.1.2.01.00- ENCARGOS SOCIAIS"</f>
        <v>3.1.2.01.00- ENCARGOS SOCIAIS</v>
      </c>
      <c r="B215" s="10">
        <v>25561469.640000001</v>
      </c>
      <c r="C215" s="10">
        <v>2555516.3199999998</v>
      </c>
      <c r="D215" s="10">
        <v>28116985.960000001</v>
      </c>
    </row>
    <row r="216" spans="1:4" x14ac:dyDescent="0.25">
      <c r="A216" s="2" t="str">
        <f>"3.1.2.01.01- INSS"</f>
        <v>3.1.2.01.01- INSS</v>
      </c>
      <c r="B216" s="10">
        <v>19923320.18</v>
      </c>
      <c r="C216" s="10">
        <v>1991945.42</v>
      </c>
      <c r="D216" s="10">
        <v>21915265.600000001</v>
      </c>
    </row>
    <row r="217" spans="1:4" x14ac:dyDescent="0.25">
      <c r="A217" s="2" t="str">
        <f>"3.1.2.01.02- FGTS"</f>
        <v>3.1.2.01.02- FGTS</v>
      </c>
      <c r="B217" s="10">
        <v>5638149.46</v>
      </c>
      <c r="C217" s="10">
        <v>563570.9</v>
      </c>
      <c r="D217" s="10">
        <v>6201720.3600000003</v>
      </c>
    </row>
    <row r="218" spans="1:4" x14ac:dyDescent="0.25">
      <c r="A218" s="2" t="str">
        <f>"3.1.2.02.00- OUTRAS DESPESAS COM PESSOAL"</f>
        <v>3.1.2.02.00- OUTRAS DESPESAS COM PESSOAL</v>
      </c>
      <c r="B218" s="10">
        <v>10693016.84</v>
      </c>
      <c r="C218" s="10">
        <v>1333120.93</v>
      </c>
      <c r="D218" s="10">
        <v>12026137.77</v>
      </c>
    </row>
    <row r="219" spans="1:4" x14ac:dyDescent="0.25">
      <c r="A219" s="2" t="str">
        <f>"3.1.2.02.01- Seguros de Vida"</f>
        <v>3.1.2.02.01- Seguros de Vida</v>
      </c>
      <c r="B219" s="10">
        <v>135276.43</v>
      </c>
      <c r="C219" s="10">
        <v>12339.3</v>
      </c>
      <c r="D219" s="10">
        <v>147615.73000000001</v>
      </c>
    </row>
    <row r="220" spans="1:4" x14ac:dyDescent="0.25">
      <c r="A220" s="2" t="str">
        <f>"3.1.2.02.02- Ass. Medica Odontologica"</f>
        <v>3.1.2.02.02- Ass. Medica Odontologica</v>
      </c>
      <c r="B220" s="10">
        <v>2846836.84</v>
      </c>
      <c r="C220" s="10">
        <v>370277.08</v>
      </c>
      <c r="D220" s="10">
        <v>3217113.92</v>
      </c>
    </row>
    <row r="221" spans="1:4" x14ac:dyDescent="0.25">
      <c r="A221" s="2" t="str">
        <f>"3.1.2.02.03- Vale Transporte"</f>
        <v>3.1.2.02.03- Vale Transporte</v>
      </c>
      <c r="B221" s="10">
        <v>941982.78</v>
      </c>
      <c r="C221" s="10">
        <v>103269.98</v>
      </c>
      <c r="D221" s="10">
        <v>1045252.76</v>
      </c>
    </row>
    <row r="222" spans="1:4" x14ac:dyDescent="0.25">
      <c r="A222" s="2" t="str">
        <f>"3.1.2.02.04- Vale Refeicao/Alimentacao"</f>
        <v>3.1.2.02.04- Vale Refeicao/Alimentacao</v>
      </c>
      <c r="B222" s="10">
        <v>6439729.6200000001</v>
      </c>
      <c r="C222" s="10">
        <v>808919.28</v>
      </c>
      <c r="D222" s="10">
        <v>7248648.9000000004</v>
      </c>
    </row>
    <row r="223" spans="1:4" x14ac:dyDescent="0.25">
      <c r="A223" s="2" t="str">
        <f>"3.1.2.02.05- Compl. Auxilio Doenca"</f>
        <v>3.1.2.02.05- Compl. Auxilio Doenca</v>
      </c>
      <c r="B223" s="10">
        <v>123518.72</v>
      </c>
      <c r="C223" s="10">
        <v>15523.08</v>
      </c>
      <c r="D223" s="10">
        <v>139041.79999999999</v>
      </c>
    </row>
    <row r="224" spans="1:4" x14ac:dyDescent="0.25">
      <c r="A224" s="2" t="str">
        <f>"3.1.2.02.06- Cursos e Treinamentos"</f>
        <v>3.1.2.02.06- Cursos e Treinamentos</v>
      </c>
      <c r="B224" s="10">
        <v>14627</v>
      </c>
      <c r="C224" s="10">
        <v>472</v>
      </c>
      <c r="D224" s="10">
        <v>15099</v>
      </c>
    </row>
    <row r="225" spans="1:4" x14ac:dyDescent="0.25">
      <c r="A225" s="2" t="str">
        <f>"3.1.2.02.07- Auxilio Creche"</f>
        <v>3.1.2.02.07- Auxilio Creche</v>
      </c>
      <c r="B225" s="10">
        <v>191045.45</v>
      </c>
      <c r="C225" s="10">
        <v>22320.21</v>
      </c>
      <c r="D225" s="10">
        <v>213365.66</v>
      </c>
    </row>
    <row r="226" spans="1:4" x14ac:dyDescent="0.25">
      <c r="A226" s="2" t="str">
        <f>"3.1.3.00.00- MATERIAIS"</f>
        <v>3.1.3.00.00- MATERIAIS</v>
      </c>
      <c r="B226" s="10">
        <v>645969.57999999996</v>
      </c>
      <c r="C226" s="10">
        <v>74750.899999999994</v>
      </c>
      <c r="D226" s="10">
        <v>720720.48</v>
      </c>
    </row>
    <row r="227" spans="1:4" x14ac:dyDescent="0.25">
      <c r="A227" s="2" t="str">
        <f>"3.1.3.00.01- Bens de natureza permanente"</f>
        <v>3.1.3.00.01- Bens de natureza permanente</v>
      </c>
      <c r="B227" s="10">
        <v>339.4</v>
      </c>
      <c r="C227" s="10">
        <v>0</v>
      </c>
      <c r="D227" s="10">
        <v>339.4</v>
      </c>
    </row>
    <row r="228" spans="1:4" x14ac:dyDescent="0.25">
      <c r="A228" s="2" t="str">
        <f>"3.1.3.00.05- Placas/acessorios/mat.fixacao"</f>
        <v>3.1.3.00.05- Placas/acessorios/mat.fixacao</v>
      </c>
      <c r="B228" s="10">
        <v>12705</v>
      </c>
      <c r="C228" s="10">
        <v>0</v>
      </c>
      <c r="D228" s="10">
        <v>12705</v>
      </c>
    </row>
    <row r="229" spans="1:4" x14ac:dyDescent="0.25">
      <c r="A229" s="2" t="str">
        <f>"3.1.3.00.08- Material seguranca e uniformes"</f>
        <v>3.1.3.00.08- Material seguranca e uniformes</v>
      </c>
      <c r="B229" s="10">
        <v>2409.4899999999998</v>
      </c>
      <c r="C229" s="10">
        <v>408.5</v>
      </c>
      <c r="D229" s="10">
        <v>2817.99</v>
      </c>
    </row>
    <row r="230" spans="1:4" x14ac:dyDescent="0.25">
      <c r="A230" s="2" t="str">
        <f>"3.1.3.00.09- Material limp/conserv/copa/cozin"</f>
        <v>3.1.3.00.09- Material limp/conserv/copa/cozin</v>
      </c>
      <c r="B230" s="10">
        <v>119445.86</v>
      </c>
      <c r="C230" s="10">
        <v>14307.88</v>
      </c>
      <c r="D230" s="10">
        <v>133753.74</v>
      </c>
    </row>
    <row r="231" spans="1:4" x14ac:dyDescent="0.25">
      <c r="A231" s="2" t="str">
        <f>"3.1.3.00.10- Impressos e material de escritorio"</f>
        <v>3.1.3.00.10- Impressos e material de escritorio</v>
      </c>
      <c r="B231" s="10">
        <v>142707.13</v>
      </c>
      <c r="C231" s="10">
        <v>19141.259999999998</v>
      </c>
      <c r="D231" s="10">
        <v>161848.39000000001</v>
      </c>
    </row>
    <row r="232" spans="1:4" x14ac:dyDescent="0.25">
      <c r="A232" s="2" t="str">
        <f>"3.1.3.00.11- Materiais manut. inst. prediais"</f>
        <v>3.1.3.00.11- Materiais manut. inst. prediais</v>
      </c>
      <c r="B232" s="10">
        <v>70282.53</v>
      </c>
      <c r="C232" s="10">
        <v>12335.88</v>
      </c>
      <c r="D232" s="10">
        <v>82618.41</v>
      </c>
    </row>
    <row r="233" spans="1:4" x14ac:dyDescent="0.25">
      <c r="A233" s="2" t="str">
        <f>"3.1.3.00.12- Carnes estacionamento rotativo"</f>
        <v>3.1.3.00.12- Carnes estacionamento rotativo</v>
      </c>
      <c r="B233" s="10">
        <v>260488.8</v>
      </c>
      <c r="C233" s="10">
        <v>26190.45</v>
      </c>
      <c r="D233" s="10">
        <v>286679.25</v>
      </c>
    </row>
    <row r="234" spans="1:4" x14ac:dyDescent="0.25">
      <c r="A234" s="2" t="str">
        <f>"3.1.3.00.15- Materiais e supriment informatic"</f>
        <v>3.1.3.00.15- Materiais e supriment informatic</v>
      </c>
      <c r="B234" s="10">
        <v>27823.040000000001</v>
      </c>
      <c r="C234" s="10">
        <v>2366.9299999999998</v>
      </c>
      <c r="D234" s="10">
        <v>30189.97</v>
      </c>
    </row>
    <row r="235" spans="1:4" x14ac:dyDescent="0.25">
      <c r="A235" s="2" t="str">
        <f>"3.1.3.00.17- Comb./lubrificantes"</f>
        <v>3.1.3.00.17- Comb./lubrificantes</v>
      </c>
      <c r="B235" s="10">
        <v>191.11</v>
      </c>
      <c r="C235" s="10">
        <v>0</v>
      </c>
      <c r="D235" s="10">
        <v>191.11</v>
      </c>
    </row>
    <row r="236" spans="1:4" x14ac:dyDescent="0.25">
      <c r="A236" s="2" t="str">
        <f>"3.1.3.00.18- Livros/jornais/rev./publicacoes"</f>
        <v>3.1.3.00.18- Livros/jornais/rev./publicacoes</v>
      </c>
      <c r="B236" s="10">
        <v>1360.8</v>
      </c>
      <c r="C236" s="10">
        <v>0</v>
      </c>
      <c r="D236" s="10">
        <v>1360.8</v>
      </c>
    </row>
    <row r="237" spans="1:4" x14ac:dyDescent="0.25">
      <c r="A237" s="2" t="str">
        <f>"3.1.3.00.19- Mat.man.cons.veiculos"</f>
        <v>3.1.3.00.19- Mat.man.cons.veiculos</v>
      </c>
      <c r="B237" s="10">
        <v>624</v>
      </c>
      <c r="C237" s="10">
        <v>0</v>
      </c>
      <c r="D237" s="10">
        <v>624</v>
      </c>
    </row>
    <row r="238" spans="1:4" x14ac:dyDescent="0.25">
      <c r="A238" s="2" t="str">
        <f>"3.1.3.00.99- Outros materiais"</f>
        <v>3.1.3.00.99- Outros materiais</v>
      </c>
      <c r="B238" s="10">
        <v>7592.42</v>
      </c>
      <c r="C238" s="10">
        <v>0</v>
      </c>
      <c r="D238" s="10">
        <v>7592.42</v>
      </c>
    </row>
    <row r="239" spans="1:4" x14ac:dyDescent="0.25">
      <c r="A239" s="2" t="str">
        <f>"3.1.4.00.00- SERVICOS PRESTADOS POR TERCEIROS"</f>
        <v>3.1.4.00.00- SERVICOS PRESTADOS POR TERCEIROS</v>
      </c>
      <c r="B239" s="10">
        <v>15992005.130000001</v>
      </c>
      <c r="C239" s="10">
        <v>1897041.16</v>
      </c>
      <c r="D239" s="10">
        <v>17889046.289999999</v>
      </c>
    </row>
    <row r="240" spans="1:4" x14ac:dyDescent="0.25">
      <c r="A240" s="2" t="str">
        <f>"3.1.4.00.01- Consultoria"</f>
        <v>3.1.4.00.01- Consultoria</v>
      </c>
      <c r="B240" s="10">
        <v>26600</v>
      </c>
      <c r="C240" s="10">
        <v>0</v>
      </c>
      <c r="D240" s="10">
        <v>26600</v>
      </c>
    </row>
    <row r="241" spans="1:4" x14ac:dyDescent="0.25">
      <c r="A241" s="2" t="str">
        <f>"3.1.4.00.03- Locacao de equipamentos"</f>
        <v>3.1.4.00.03- Locacao de equipamentos</v>
      </c>
      <c r="B241" s="10">
        <v>53645.599999999999</v>
      </c>
      <c r="C241" s="10">
        <v>11613</v>
      </c>
      <c r="D241" s="10">
        <v>65258.6</v>
      </c>
    </row>
    <row r="242" spans="1:4" x14ac:dyDescent="0.25">
      <c r="A242" s="2" t="str">
        <f>"3.1.4.00.08- Servicos de auditoria"</f>
        <v>3.1.4.00.08- Servicos de auditoria</v>
      </c>
      <c r="B242" s="10">
        <v>16333.28</v>
      </c>
      <c r="C242" s="10">
        <v>0</v>
      </c>
      <c r="D242" s="10">
        <v>16333.28</v>
      </c>
    </row>
    <row r="243" spans="1:4" x14ac:dyDescent="0.25">
      <c r="A243" s="2" t="str">
        <f>"3.1.4.00.10- Mao de obra contratada"</f>
        <v>3.1.4.00.10- Mao de obra contratada</v>
      </c>
      <c r="B243" s="10">
        <v>846533.19</v>
      </c>
      <c r="C243" s="10">
        <v>25972.89</v>
      </c>
      <c r="D243" s="10">
        <v>872506.08</v>
      </c>
    </row>
    <row r="244" spans="1:4" x14ac:dyDescent="0.25">
      <c r="A244" s="2" t="str">
        <f>"3.1.4.00.13- Publicidade e divulgacao"</f>
        <v>3.1.4.00.13- Publicidade e divulgacao</v>
      </c>
      <c r="B244" s="10">
        <v>134108.35999999999</v>
      </c>
      <c r="C244" s="10">
        <v>22083.200000000001</v>
      </c>
      <c r="D244" s="10">
        <v>156191.56</v>
      </c>
    </row>
    <row r="245" spans="1:4" x14ac:dyDescent="0.25">
      <c r="A245" s="2" t="str">
        <f>"3.1.4.00.14- Informatica-serv. e/ou locacao"</f>
        <v>3.1.4.00.14- Informatica-serv. e/ou locacao</v>
      </c>
      <c r="B245" s="10">
        <v>1026495.77</v>
      </c>
      <c r="C245" s="10">
        <v>153563.1</v>
      </c>
      <c r="D245" s="10">
        <v>1180058.8700000001</v>
      </c>
    </row>
    <row r="246" spans="1:4" x14ac:dyDescent="0.25">
      <c r="A246" s="2" t="str">
        <f>"3.1.4.00.15- Outros serv. prestados - PF"</f>
        <v>3.1.4.00.15- Outros serv. prestados - PF</v>
      </c>
      <c r="B246" s="10">
        <v>103765.1</v>
      </c>
      <c r="C246" s="10">
        <v>8353.1200000000008</v>
      </c>
      <c r="D246" s="10">
        <v>112118.22</v>
      </c>
    </row>
    <row r="247" spans="1:4" x14ac:dyDescent="0.25">
      <c r="A247" s="2" t="str">
        <f>"3.1.4.00.16- Outros serv. Prestados - PJ"</f>
        <v>3.1.4.00.16- Outros serv. Prestados - PJ</v>
      </c>
      <c r="B247" s="10">
        <v>186769.22</v>
      </c>
      <c r="C247" s="10">
        <v>39281.050000000003</v>
      </c>
      <c r="D247" s="10">
        <v>226050.27</v>
      </c>
    </row>
    <row r="248" spans="1:4" x14ac:dyDescent="0.25">
      <c r="A248" s="2" t="str">
        <f>"3.1.4.00.17- Servicos postais"</f>
        <v>3.1.4.00.17- Servicos postais</v>
      </c>
      <c r="B248" s="10">
        <v>54149.01</v>
      </c>
      <c r="C248" s="10">
        <v>3394.91</v>
      </c>
      <c r="D248" s="10">
        <v>57543.92</v>
      </c>
    </row>
    <row r="249" spans="1:4" x14ac:dyDescent="0.25">
      <c r="A249" s="2" t="str">
        <f>"3.1.4.00.18- INSS s/servicos de terceiros"</f>
        <v>3.1.4.00.18- INSS s/servicos de terceiros</v>
      </c>
      <c r="B249" s="10">
        <v>23655.48</v>
      </c>
      <c r="C249" s="10">
        <v>3400.07</v>
      </c>
      <c r="D249" s="10">
        <v>27055.55</v>
      </c>
    </row>
    <row r="250" spans="1:4" x14ac:dyDescent="0.25">
      <c r="A250" s="2" t="str">
        <f>"3.1.4.00.19- Manut. imoveis/instal/equip.oper"</f>
        <v>3.1.4.00.19- Manut. imoveis/instal/equip.oper</v>
      </c>
      <c r="B250" s="10">
        <v>390419.25</v>
      </c>
      <c r="C250" s="10">
        <v>33504.58</v>
      </c>
      <c r="D250" s="10">
        <v>423923.83</v>
      </c>
    </row>
    <row r="251" spans="1:4" x14ac:dyDescent="0.25">
      <c r="A251" s="2" t="str">
        <f>"3.1.4.00.21- Manut. moveis e equip. Escritorio"</f>
        <v>3.1.4.00.21- Manut. moveis e equip. Escritorio</v>
      </c>
      <c r="B251" s="10">
        <v>40667.08</v>
      </c>
      <c r="C251" s="10">
        <v>0</v>
      </c>
      <c r="D251" s="10">
        <v>40667.08</v>
      </c>
    </row>
    <row r="252" spans="1:4" x14ac:dyDescent="0.25">
      <c r="A252" s="2" t="str">
        <f>"3.1.4.00.24- Loc.serv.mensageiro"</f>
        <v>3.1.4.00.24- Loc.serv.mensageiro</v>
      </c>
      <c r="B252" s="10">
        <v>34838.81</v>
      </c>
      <c r="C252" s="10">
        <v>0</v>
      </c>
      <c r="D252" s="10">
        <v>34838.81</v>
      </c>
    </row>
    <row r="253" spans="1:4" x14ac:dyDescent="0.25">
      <c r="A253" s="2" t="str">
        <f>"3.1.4.00.26- Serv.limp.conserv."</f>
        <v>3.1.4.00.26- Serv.limp.conserv.</v>
      </c>
      <c r="B253" s="10">
        <v>13001295.07</v>
      </c>
      <c r="C253" s="10">
        <v>1488399.1</v>
      </c>
      <c r="D253" s="10">
        <v>14489694.17</v>
      </c>
    </row>
    <row r="254" spans="1:4" x14ac:dyDescent="0.25">
      <c r="A254" s="2" t="str">
        <f>"3.1.4.00.32- Vale transporte"</f>
        <v>3.1.4.00.32- Vale transporte</v>
      </c>
      <c r="B254" s="10">
        <v>929.63</v>
      </c>
      <c r="C254" s="10">
        <v>0</v>
      </c>
      <c r="D254" s="10">
        <v>929.63</v>
      </c>
    </row>
    <row r="255" spans="1:4" x14ac:dyDescent="0.25">
      <c r="A255" s="2" t="str">
        <f>"3.1.4.00.33- Vale Ref./Al.terceir."</f>
        <v>3.1.4.00.33- Vale Ref./Al.terceir.</v>
      </c>
      <c r="B255" s="10">
        <v>2454.6999999999998</v>
      </c>
      <c r="C255" s="10">
        <v>0</v>
      </c>
      <c r="D255" s="10">
        <v>2454.6999999999998</v>
      </c>
    </row>
    <row r="256" spans="1:4" x14ac:dyDescent="0.25">
      <c r="A256" s="2" t="str">
        <f>"3.1.4.00.34- Comissao s/venda rotativo"</f>
        <v>3.1.4.00.34- Comissao s/venda rotativo</v>
      </c>
      <c r="B256" s="10">
        <v>502728.77</v>
      </c>
      <c r="C256" s="10">
        <v>147805.01</v>
      </c>
      <c r="D256" s="10">
        <v>650533.78</v>
      </c>
    </row>
    <row r="257" spans="1:4" x14ac:dyDescent="0.25">
      <c r="A257" s="2" t="str">
        <f>"3.1.4.00.36- (-) Desconto ISSQN conf Lei 9145 serv. P"</f>
        <v>3.1.4.00.36- (-) Desconto ISSQN conf Lei 9145 serv. P</v>
      </c>
      <c r="B257" s="10">
        <v>-715978.2</v>
      </c>
      <c r="C257" s="10">
        <v>-92138.07</v>
      </c>
      <c r="D257" s="10">
        <v>-808116.27</v>
      </c>
    </row>
    <row r="258" spans="1:4" x14ac:dyDescent="0.25">
      <c r="A258" s="2" t="str">
        <f>"3.1.4.00.39- Convênio Guarda Municipal"</f>
        <v>3.1.4.00.39- Convênio Guarda Municipal</v>
      </c>
      <c r="B258" s="10">
        <v>262595.01</v>
      </c>
      <c r="C258" s="10">
        <v>51809.2</v>
      </c>
      <c r="D258" s="10">
        <v>314404.21000000002</v>
      </c>
    </row>
    <row r="259" spans="1:4" x14ac:dyDescent="0.25">
      <c r="A259" s="2" t="str">
        <f>"3.1.5.00.00- TARIFAS PUBLICAS"</f>
        <v>3.1.5.00.00- TARIFAS PUBLICAS</v>
      </c>
      <c r="B259" s="10">
        <v>1114895.46</v>
      </c>
      <c r="C259" s="10">
        <v>234258.08</v>
      </c>
      <c r="D259" s="10">
        <v>1349153.54</v>
      </c>
    </row>
    <row r="260" spans="1:4" x14ac:dyDescent="0.25">
      <c r="A260" s="2" t="str">
        <f>"3.1.5.00.02- Energia eletrica"</f>
        <v>3.1.5.00.02- Energia eletrica</v>
      </c>
      <c r="B260" s="10">
        <v>830733.07</v>
      </c>
      <c r="C260" s="10">
        <v>205078.34</v>
      </c>
      <c r="D260" s="10">
        <v>1035811.41</v>
      </c>
    </row>
    <row r="261" spans="1:4" x14ac:dyDescent="0.25">
      <c r="A261" s="2" t="str">
        <f>"3.1.5.00.03- Telefone"</f>
        <v>3.1.5.00.03- Telefone</v>
      </c>
      <c r="B261" s="10">
        <v>284162.39</v>
      </c>
      <c r="C261" s="10">
        <v>29179.74</v>
      </c>
      <c r="D261" s="10">
        <v>313342.13</v>
      </c>
    </row>
    <row r="262" spans="1:4" x14ac:dyDescent="0.25">
      <c r="A262" s="2" t="str">
        <f>"3.1.6.00.00- DESPESAS TRIBUTARIAS"</f>
        <v>3.1.6.00.00- DESPESAS TRIBUTARIAS</v>
      </c>
      <c r="B262" s="10">
        <v>2105582.54</v>
      </c>
      <c r="C262" s="10">
        <v>257352.53</v>
      </c>
      <c r="D262" s="10">
        <v>2362935.0699999998</v>
      </c>
    </row>
    <row r="263" spans="1:4" x14ac:dyDescent="0.25">
      <c r="A263" s="2" t="str">
        <f>"3.1.6.00.01- Taxas legais"</f>
        <v>3.1.6.00.01- Taxas legais</v>
      </c>
      <c r="B263" s="10">
        <v>20860.87</v>
      </c>
      <c r="C263" s="10">
        <v>0</v>
      </c>
      <c r="D263" s="10">
        <v>20860.87</v>
      </c>
    </row>
    <row r="264" spans="1:4" x14ac:dyDescent="0.25">
      <c r="A264" s="2" t="str">
        <f>"3.1.6.00.03- IOF"</f>
        <v>3.1.6.00.03- IOF</v>
      </c>
      <c r="B264" s="10">
        <v>1100.01</v>
      </c>
      <c r="C264" s="10">
        <v>364.06</v>
      </c>
      <c r="D264" s="10">
        <v>1464.07</v>
      </c>
    </row>
    <row r="265" spans="1:4" x14ac:dyDescent="0.25">
      <c r="A265" s="2" t="str">
        <f>"3.1.6.00.06- PIS"</f>
        <v>3.1.6.00.06- PIS</v>
      </c>
      <c r="B265" s="10">
        <v>342500.4</v>
      </c>
      <c r="C265" s="10">
        <v>43210.41</v>
      </c>
      <c r="D265" s="10">
        <v>385710.81</v>
      </c>
    </row>
    <row r="266" spans="1:4" x14ac:dyDescent="0.25">
      <c r="A266" s="2" t="str">
        <f>"3.1.6.00.07- COFINS"</f>
        <v>3.1.6.00.07- COFINS</v>
      </c>
      <c r="B266" s="10">
        <v>1577577.66</v>
      </c>
      <c r="C266" s="10">
        <v>199029.77</v>
      </c>
      <c r="D266" s="10">
        <v>1776607.43</v>
      </c>
    </row>
    <row r="267" spans="1:4" x14ac:dyDescent="0.25">
      <c r="A267" s="2" t="str">
        <f>"3.1.6.00.08- Multas indedutiveis"</f>
        <v>3.1.6.00.08- Multas indedutiveis</v>
      </c>
      <c r="B267" s="10">
        <v>26966.39</v>
      </c>
      <c r="C267" s="10">
        <v>0</v>
      </c>
      <c r="D267" s="10">
        <v>26966.39</v>
      </c>
    </row>
    <row r="268" spans="1:4" x14ac:dyDescent="0.25">
      <c r="A268" s="2" t="str">
        <f>"3.1.6.00.10- ISS s/faturamento"</f>
        <v>3.1.6.00.10- ISS s/faturamento</v>
      </c>
      <c r="B268" s="10">
        <v>19166.96</v>
      </c>
      <c r="C268" s="10">
        <v>2549</v>
      </c>
      <c r="D268" s="10">
        <v>21715.96</v>
      </c>
    </row>
    <row r="269" spans="1:4" x14ac:dyDescent="0.25">
      <c r="A269" s="2" t="str">
        <f>"3.1.6.00.11- Custas/despesas judiciais"</f>
        <v>3.1.6.00.11- Custas/despesas judiciais</v>
      </c>
      <c r="B269" s="10">
        <v>60</v>
      </c>
      <c r="C269" s="10">
        <v>0</v>
      </c>
      <c r="D269" s="10">
        <v>60</v>
      </c>
    </row>
    <row r="270" spans="1:4" x14ac:dyDescent="0.25">
      <c r="A270" s="2" t="str">
        <f>"3.1.6.00.14- Contrib.entid.classe"</f>
        <v>3.1.6.00.14- Contrib.entid.classe</v>
      </c>
      <c r="B270" s="10">
        <v>81312.44</v>
      </c>
      <c r="C270" s="10">
        <v>429.64</v>
      </c>
      <c r="D270" s="10">
        <v>81742.080000000002</v>
      </c>
    </row>
    <row r="271" spans="1:4" x14ac:dyDescent="0.25">
      <c r="A271" s="2" t="str">
        <f>"3.1.6.00.15- INSS Serv.terceiros"</f>
        <v>3.1.6.00.15- INSS Serv.terceiros</v>
      </c>
      <c r="B271" s="10">
        <v>14534.95</v>
      </c>
      <c r="C271" s="10">
        <v>3488.64</v>
      </c>
      <c r="D271" s="10">
        <v>18023.59</v>
      </c>
    </row>
    <row r="272" spans="1:4" x14ac:dyDescent="0.25">
      <c r="A272" s="2" t="str">
        <f>"3.1.6.00.17- PIS s/ receitas financeiras"</f>
        <v>3.1.6.00.17- PIS s/ receitas financeiras</v>
      </c>
      <c r="B272" s="10">
        <v>3005.77</v>
      </c>
      <c r="C272" s="10">
        <v>1157.56</v>
      </c>
      <c r="D272" s="10">
        <v>4163.33</v>
      </c>
    </row>
    <row r="273" spans="1:4" x14ac:dyDescent="0.25">
      <c r="A273" s="2" t="str">
        <f>"3.1.6.00.18- Cofins s/ receitas financeiras"</f>
        <v>3.1.6.00.18- Cofins s/ receitas financeiras</v>
      </c>
      <c r="B273" s="10">
        <v>18497.09</v>
      </c>
      <c r="C273" s="10">
        <v>7123.45</v>
      </c>
      <c r="D273" s="10">
        <v>25620.54</v>
      </c>
    </row>
    <row r="274" spans="1:4" x14ac:dyDescent="0.25">
      <c r="A274" s="2" t="str">
        <f>"3.1.7.00.00- DESPESAS FINANCEIRAS"</f>
        <v>3.1.7.00.00- DESPESAS FINANCEIRAS</v>
      </c>
      <c r="B274" s="10">
        <v>20618.68</v>
      </c>
      <c r="C274" s="10">
        <v>4228.8</v>
      </c>
      <c r="D274" s="10">
        <v>24847.48</v>
      </c>
    </row>
    <row r="275" spans="1:4" x14ac:dyDescent="0.25">
      <c r="A275" s="2" t="str">
        <f>"3.1.7.01.01- Juros passivos curto prazo"</f>
        <v>3.1.7.01.01- Juros passivos curto prazo</v>
      </c>
      <c r="B275" s="10">
        <v>61.07</v>
      </c>
      <c r="C275" s="10">
        <v>0</v>
      </c>
      <c r="D275" s="10">
        <v>61.07</v>
      </c>
    </row>
    <row r="276" spans="1:4" x14ac:dyDescent="0.25">
      <c r="A276" s="2" t="str">
        <f>"3.1.7.01.02- Despesas bancarias"</f>
        <v>3.1.7.01.02- Despesas bancarias</v>
      </c>
      <c r="B276" s="10">
        <v>20557.61</v>
      </c>
      <c r="C276" s="10">
        <v>4228.8</v>
      </c>
      <c r="D276" s="10">
        <v>24786.41</v>
      </c>
    </row>
    <row r="277" spans="1:4" x14ac:dyDescent="0.25">
      <c r="A277" s="2" t="str">
        <f>"3.1.8.00.00- OUTRAS DESPESAS"</f>
        <v>3.1.8.00.00- OUTRAS DESPESAS</v>
      </c>
      <c r="B277" s="10">
        <v>1039183.53</v>
      </c>
      <c r="C277" s="10">
        <v>104043.02</v>
      </c>
      <c r="D277" s="10">
        <v>1143226.55</v>
      </c>
    </row>
    <row r="278" spans="1:4" x14ac:dyDescent="0.25">
      <c r="A278" s="2" t="str">
        <f>"3.1.8.00.01- Despesas de viagem"</f>
        <v>3.1.8.00.01- Despesas de viagem</v>
      </c>
      <c r="B278" s="10">
        <v>58361.17</v>
      </c>
      <c r="C278" s="10">
        <v>7373.19</v>
      </c>
      <c r="D278" s="10">
        <v>65734.36</v>
      </c>
    </row>
    <row r="279" spans="1:4" x14ac:dyDescent="0.25">
      <c r="A279" s="2" t="str">
        <f>"3.1.8.00.05- Depreciacao/amort"</f>
        <v>3.1.8.00.05- Depreciacao/amort</v>
      </c>
      <c r="B279" s="10">
        <v>202988.74</v>
      </c>
      <c r="C279" s="10">
        <v>21695.01</v>
      </c>
      <c r="D279" s="10">
        <v>224683.75</v>
      </c>
    </row>
    <row r="280" spans="1:4" x14ac:dyDescent="0.25">
      <c r="A280" s="2" t="str">
        <f>"3.1.8.00.06- Seguros bens moveis e imoveis"</f>
        <v>3.1.8.00.06- Seguros bens moveis e imoveis</v>
      </c>
      <c r="B280" s="10">
        <v>8779.2900000000009</v>
      </c>
      <c r="C280" s="10">
        <v>2077.8000000000002</v>
      </c>
      <c r="D280" s="10">
        <v>10857.09</v>
      </c>
    </row>
    <row r="281" spans="1:4" x14ac:dyDescent="0.25">
      <c r="A281" s="2" t="str">
        <f>"3.1.8.00.08- Alugueis e condominio"</f>
        <v>3.1.8.00.08- Alugueis e condominio</v>
      </c>
      <c r="B281" s="10">
        <v>45646.29</v>
      </c>
      <c r="C281" s="10">
        <v>5071.8100000000004</v>
      </c>
      <c r="D281" s="10">
        <v>50718.1</v>
      </c>
    </row>
    <row r="282" spans="1:4" x14ac:dyDescent="0.25">
      <c r="A282" s="2" t="str">
        <f>"3.1.8.00.12- Acoes judiciais terceiros"</f>
        <v>3.1.8.00.12- Acoes judiciais terceiros</v>
      </c>
      <c r="B282" s="10">
        <v>9283.2999999999993</v>
      </c>
      <c r="C282" s="10">
        <v>0</v>
      </c>
      <c r="D282" s="10">
        <v>9283.2999999999993</v>
      </c>
    </row>
    <row r="283" spans="1:4" x14ac:dyDescent="0.25">
      <c r="A283" s="2" t="str">
        <f>"3.1.8.00.16- Baixa de imobilizado"</f>
        <v>3.1.8.00.16- Baixa de imobilizado</v>
      </c>
      <c r="B283" s="10">
        <v>4339.8999999999996</v>
      </c>
      <c r="C283" s="10">
        <v>0</v>
      </c>
      <c r="D283" s="10">
        <v>4339.8999999999996</v>
      </c>
    </row>
    <row r="284" spans="1:4" x14ac:dyDescent="0.25">
      <c r="A284" s="2" t="str">
        <f>"3.1.8.00.17- Gastos com eventos e promocoes"</f>
        <v>3.1.8.00.17- Gastos com eventos e promocoes</v>
      </c>
      <c r="B284" s="10">
        <v>290944.3</v>
      </c>
      <c r="C284" s="10">
        <v>2249</v>
      </c>
      <c r="D284" s="10">
        <v>293193.3</v>
      </c>
    </row>
    <row r="285" spans="1:4" x14ac:dyDescent="0.25">
      <c r="A285" s="2" t="str">
        <f>"3.1.8.00.18- Provisao para perdas"</f>
        <v>3.1.8.00.18- Provisao para perdas</v>
      </c>
      <c r="B285" s="10">
        <v>353679.07</v>
      </c>
      <c r="C285" s="10">
        <v>57768.46</v>
      </c>
      <c r="D285" s="10">
        <v>411447.53</v>
      </c>
    </row>
    <row r="286" spans="1:4" x14ac:dyDescent="0.25">
      <c r="A286" s="2" t="str">
        <f>"3.1.8.00.23- Custas/Despesas Judiciais"</f>
        <v>3.1.8.00.23- Custas/Despesas Judiciais</v>
      </c>
      <c r="B286" s="10">
        <v>64749.279999999999</v>
      </c>
      <c r="C286" s="10">
        <v>7646.85</v>
      </c>
      <c r="D286" s="10">
        <v>72396.13</v>
      </c>
    </row>
    <row r="287" spans="1:4" x14ac:dyDescent="0.25">
      <c r="A287" s="2" t="str">
        <f>"3.1.8.00.99- Despesas diversas"</f>
        <v>3.1.8.00.99- Despesas diversas</v>
      </c>
      <c r="B287" s="10">
        <v>412.19</v>
      </c>
      <c r="C287" s="10">
        <v>160.9</v>
      </c>
      <c r="D287" s="10">
        <v>573.09</v>
      </c>
    </row>
    <row r="288" spans="1:4" x14ac:dyDescent="0.25">
      <c r="A288" s="2" t="str">
        <f>""</f>
        <v/>
      </c>
      <c r="B288" s="3" t="str">
        <f>""</f>
        <v/>
      </c>
      <c r="C288" s="3" t="str">
        <f>""</f>
        <v/>
      </c>
      <c r="D288" s="3" t="str">
        <f>""</f>
        <v/>
      </c>
    </row>
    <row r="289" spans="1:4" x14ac:dyDescent="0.25">
      <c r="A289" s="2" t="str">
        <f>""</f>
        <v/>
      </c>
      <c r="B289" s="3" t="str">
        <f>""</f>
        <v/>
      </c>
      <c r="C289" s="3" t="str">
        <f>""</f>
        <v/>
      </c>
      <c r="D289" s="3" t="str">
        <f>""</f>
        <v/>
      </c>
    </row>
    <row r="290" spans="1:4" x14ac:dyDescent="0.25">
      <c r="A290" s="2" t="str">
        <f>""</f>
        <v/>
      </c>
      <c r="B290" s="3" t="str">
        <f>""</f>
        <v/>
      </c>
      <c r="C290" s="3" t="str">
        <f>""</f>
        <v/>
      </c>
      <c r="D290" s="3" t="str">
        <f>""</f>
        <v/>
      </c>
    </row>
    <row r="291" spans="1:4" x14ac:dyDescent="0.25">
      <c r="A291" s="2" t="str">
        <f>""</f>
        <v/>
      </c>
      <c r="B291" s="3" t="str">
        <f>""</f>
        <v/>
      </c>
      <c r="C291" s="3" t="str">
        <f>""</f>
        <v/>
      </c>
      <c r="D291" s="3" t="str">
        <f>""</f>
        <v/>
      </c>
    </row>
    <row r="292" spans="1:4" x14ac:dyDescent="0.25">
      <c r="A292" s="2" t="str">
        <f>""</f>
        <v/>
      </c>
      <c r="B292" s="3" t="str">
        <f>""</f>
        <v/>
      </c>
      <c r="C292" s="3" t="str">
        <f>""</f>
        <v/>
      </c>
      <c r="D292" s="3" t="str">
        <f>""</f>
        <v/>
      </c>
    </row>
    <row r="293" spans="1:4" x14ac:dyDescent="0.25">
      <c r="A293" s="2" t="str">
        <f>""</f>
        <v/>
      </c>
      <c r="B293" s="3" t="str">
        <f>""</f>
        <v/>
      </c>
      <c r="C293" s="3" t="str">
        <f>""</f>
        <v/>
      </c>
      <c r="D293" s="3" t="str">
        <f>""</f>
        <v/>
      </c>
    </row>
    <row r="294" spans="1:4" x14ac:dyDescent="0.25">
      <c r="A294" s="2" t="str">
        <f>""</f>
        <v/>
      </c>
      <c r="B294" s="3" t="str">
        <f>""</f>
        <v/>
      </c>
      <c r="C294" s="3" t="str">
        <f>""</f>
        <v/>
      </c>
      <c r="D294" s="3" t="str">
        <f>""</f>
        <v/>
      </c>
    </row>
    <row r="295" spans="1:4" x14ac:dyDescent="0.25">
      <c r="A295" s="2" t="str">
        <f>""</f>
        <v/>
      </c>
      <c r="B295" s="3" t="str">
        <f>""</f>
        <v/>
      </c>
      <c r="C295" s="3" t="str">
        <f>""</f>
        <v/>
      </c>
      <c r="D295" s="3" t="str">
        <f>""</f>
        <v/>
      </c>
    </row>
    <row r="296" spans="1:4" x14ac:dyDescent="0.25">
      <c r="A296" s="2" t="str">
        <f>""</f>
        <v/>
      </c>
      <c r="B296" s="3" t="str">
        <f>""</f>
        <v/>
      </c>
      <c r="C296" s="3" t="str">
        <f>""</f>
        <v/>
      </c>
      <c r="D296" s="3" t="str">
        <f>""</f>
        <v/>
      </c>
    </row>
    <row r="297" spans="1:4" x14ac:dyDescent="0.25">
      <c r="A297" s="2" t="str">
        <f>""</f>
        <v/>
      </c>
      <c r="B297" s="3" t="str">
        <f>""</f>
        <v/>
      </c>
      <c r="C297" s="3" t="str">
        <f>""</f>
        <v/>
      </c>
      <c r="D297" s="3" t="str">
        <f>""</f>
        <v/>
      </c>
    </row>
    <row r="298" spans="1:4" x14ac:dyDescent="0.25">
      <c r="A298" s="2" t="str">
        <f>"RECEITAS"</f>
        <v>RECEITAS</v>
      </c>
      <c r="B298" s="3" t="str">
        <f>""</f>
        <v/>
      </c>
      <c r="C298" s="3" t="str">
        <f>""</f>
        <v/>
      </c>
      <c r="D298" s="3" t="str">
        <f>""</f>
        <v/>
      </c>
    </row>
    <row r="299" spans="1:4" x14ac:dyDescent="0.25">
      <c r="A299" s="2" t="str">
        <f>"4.0.0.00.00- RECEITAS"</f>
        <v>4.0.0.00.00- RECEITAS</v>
      </c>
      <c r="B299" s="10">
        <v>112200991.65000001</v>
      </c>
      <c r="C299" s="10">
        <v>12734417.49</v>
      </c>
      <c r="D299" s="10">
        <v>124935409.14</v>
      </c>
    </row>
    <row r="300" spans="1:4" x14ac:dyDescent="0.25">
      <c r="A300" s="2" t="str">
        <f>"4.1.0.00.00- RECEITAS BHTRANS"</f>
        <v>4.1.0.00.00- RECEITAS BHTRANS</v>
      </c>
      <c r="B300" s="10">
        <v>110592868.45</v>
      </c>
      <c r="C300" s="10">
        <v>12462982.449999999</v>
      </c>
      <c r="D300" s="10">
        <v>123055850.90000001</v>
      </c>
    </row>
    <row r="301" spans="1:4" x14ac:dyDescent="0.25">
      <c r="A301" s="2" t="str">
        <f>"4.1.1.00.00- RECEITAS OPERACIONAIS"</f>
        <v>4.1.1.00.00- RECEITAS OPERACIONAIS</v>
      </c>
      <c r="B301" s="10">
        <v>110083929.8</v>
      </c>
      <c r="C301" s="10">
        <v>12401930.51</v>
      </c>
      <c r="D301" s="10">
        <v>122485860.31</v>
      </c>
    </row>
    <row r="302" spans="1:4" x14ac:dyDescent="0.25">
      <c r="A302" s="2" t="str">
        <f>"4.1.1.00.05- Midia taxi, escolar e suplementar"</f>
        <v>4.1.1.00.05- Midia taxi, escolar e suplementar</v>
      </c>
      <c r="B302" s="10">
        <v>34467.440000000002</v>
      </c>
      <c r="C302" s="10">
        <v>4699.55</v>
      </c>
      <c r="D302" s="10">
        <v>39166.99</v>
      </c>
    </row>
    <row r="303" spans="1:4" x14ac:dyDescent="0.25">
      <c r="A303" s="2" t="str">
        <f>"4.1.1.00.06- Midia em onibus"</f>
        <v>4.1.1.00.06- Midia em onibus</v>
      </c>
      <c r="B303" s="10">
        <v>527750.80000000005</v>
      </c>
      <c r="C303" s="10">
        <v>72642.59</v>
      </c>
      <c r="D303" s="10">
        <v>600393.39</v>
      </c>
    </row>
    <row r="304" spans="1:4" x14ac:dyDescent="0.25">
      <c r="A304" s="2" t="str">
        <f>"4.1.1.00.07- Midias diversas"</f>
        <v>4.1.1.00.07- Midias diversas</v>
      </c>
      <c r="B304" s="10">
        <v>76256.7</v>
      </c>
      <c r="C304" s="10">
        <v>7625.67</v>
      </c>
      <c r="D304" s="10">
        <v>83882.37</v>
      </c>
    </row>
    <row r="305" spans="1:4" x14ac:dyDescent="0.25">
      <c r="A305" s="2" t="str">
        <f>"4.1.1.00.08- Estacionamento Rotativo"</f>
        <v>4.1.1.00.08- Estacionamento Rotativo</v>
      </c>
      <c r="B305" s="10">
        <v>13354030.949999999</v>
      </c>
      <c r="C305" s="10">
        <v>1665259.2</v>
      </c>
      <c r="D305" s="10">
        <v>15019290.15</v>
      </c>
    </row>
    <row r="306" spans="1:4" x14ac:dyDescent="0.25">
      <c r="A306" s="2" t="str">
        <f>"4.1.1.00.10- Transf. financeira PBH"</f>
        <v>4.1.1.00.10- Transf. financeira PBH</v>
      </c>
      <c r="B306" s="10">
        <v>90980963.829999998</v>
      </c>
      <c r="C306" s="10">
        <v>9937518.4499999993</v>
      </c>
      <c r="D306" s="10">
        <v>100918482.28</v>
      </c>
    </row>
    <row r="307" spans="1:4" x14ac:dyDescent="0.25">
      <c r="A307" s="2" t="str">
        <f>"4.1.1.00.16- Multas transporte coletivo"</f>
        <v>4.1.1.00.16- Multas transporte coletivo</v>
      </c>
      <c r="B307" s="10">
        <v>3536790.71</v>
      </c>
      <c r="C307" s="10">
        <v>577684.61</v>
      </c>
      <c r="D307" s="10">
        <v>4114475.32</v>
      </c>
    </row>
    <row r="308" spans="1:4" x14ac:dyDescent="0.25">
      <c r="A308" s="2" t="str">
        <f>"4.1.1.00.17- Multas transporte publico"</f>
        <v>4.1.1.00.17- Multas transporte publico</v>
      </c>
      <c r="B308" s="10">
        <v>1153950.02</v>
      </c>
      <c r="C308" s="10">
        <v>118208.23</v>
      </c>
      <c r="D308" s="10">
        <v>1272158.25</v>
      </c>
    </row>
    <row r="309" spans="1:4" x14ac:dyDescent="0.25">
      <c r="A309" s="2" t="str">
        <f>"4.1.1.00.19- Subconcessao frotas de taxi"</f>
        <v>4.1.1.00.19- Subconcessao frotas de taxi</v>
      </c>
      <c r="B309" s="10">
        <v>419719.35</v>
      </c>
      <c r="C309" s="10">
        <v>18292.21</v>
      </c>
      <c r="D309" s="10">
        <v>438011.56</v>
      </c>
    </row>
    <row r="310" spans="1:4" x14ac:dyDescent="0.25">
      <c r="A310" s="2" t="str">
        <f>"4.1.8.00.00- RECEITAS ALUGUEIS ESTACOES"</f>
        <v>4.1.8.00.00- RECEITAS ALUGUEIS ESTACOES</v>
      </c>
      <c r="B310" s="10">
        <v>508938.65</v>
      </c>
      <c r="C310" s="10">
        <v>61051.94</v>
      </c>
      <c r="D310" s="10">
        <v>569990.59</v>
      </c>
    </row>
    <row r="311" spans="1:4" x14ac:dyDescent="0.25">
      <c r="A311" s="2" t="str">
        <f>"4.1.8.00.01- Alugueis Estacoes"</f>
        <v>4.1.8.00.01- Alugueis Estacoes</v>
      </c>
      <c r="B311" s="10">
        <v>508938.65</v>
      </c>
      <c r="C311" s="10">
        <v>61051.94</v>
      </c>
      <c r="D311" s="10">
        <v>569990.59</v>
      </c>
    </row>
    <row r="312" spans="1:4" x14ac:dyDescent="0.25">
      <c r="A312" s="2" t="str">
        <f>"4.2.0.00.00- RECEITAS FINANCEIRAS"</f>
        <v>4.2.0.00.00- RECEITAS FINANCEIRAS</v>
      </c>
      <c r="B312" s="10">
        <v>462427.06</v>
      </c>
      <c r="C312" s="10">
        <v>178086.34</v>
      </c>
      <c r="D312" s="10">
        <v>640513.4</v>
      </c>
    </row>
    <row r="313" spans="1:4" x14ac:dyDescent="0.25">
      <c r="A313" s="2" t="str">
        <f>"4.2.1.00.00- RECEITAS FINANCEIRAS"</f>
        <v>4.2.1.00.00- RECEITAS FINANCEIRAS</v>
      </c>
      <c r="B313" s="10">
        <v>461597.65</v>
      </c>
      <c r="C313" s="10">
        <v>178018.09</v>
      </c>
      <c r="D313" s="10">
        <v>639615.74</v>
      </c>
    </row>
    <row r="314" spans="1:4" x14ac:dyDescent="0.25">
      <c r="A314" s="2" t="str">
        <f>"4.2.1.00.01- Rendimentos aplic. Financeira"</f>
        <v>4.2.1.00.01- Rendimentos aplic. Financeira</v>
      </c>
      <c r="B314" s="10">
        <v>459465.55</v>
      </c>
      <c r="C314" s="10">
        <v>78018.09</v>
      </c>
      <c r="D314" s="10">
        <v>537483.64</v>
      </c>
    </row>
    <row r="315" spans="1:4" x14ac:dyDescent="0.25">
      <c r="A315" s="2" t="str">
        <f>"4.2.1.00.02- Juros ativos"</f>
        <v>4.2.1.00.02- Juros ativos</v>
      </c>
      <c r="B315" s="10">
        <v>2132.1</v>
      </c>
      <c r="C315" s="10">
        <v>0</v>
      </c>
      <c r="D315" s="10">
        <v>2132.1</v>
      </c>
    </row>
    <row r="316" spans="1:4" x14ac:dyDescent="0.25">
      <c r="A316" s="2" t="str">
        <f>"4.2.1.00.05- Receitas Financeiras - Convênio"</f>
        <v>4.2.1.00.05- Receitas Financeiras - Convênio</v>
      </c>
      <c r="B316" s="10">
        <v>0</v>
      </c>
      <c r="C316" s="10">
        <v>100000</v>
      </c>
      <c r="D316" s="10">
        <v>100000</v>
      </c>
    </row>
    <row r="317" spans="1:4" x14ac:dyDescent="0.25">
      <c r="A317" s="2" t="str">
        <f>"4.2.2.00.00- VARIACOES MONETARIAS ATIVAS"</f>
        <v>4.2.2.00.00- VARIACOES MONETARIAS ATIVAS</v>
      </c>
      <c r="B317" s="10">
        <v>829.41</v>
      </c>
      <c r="C317" s="10">
        <v>68.25</v>
      </c>
      <c r="D317" s="10">
        <v>897.66</v>
      </c>
    </row>
    <row r="318" spans="1:4" x14ac:dyDescent="0.25">
      <c r="A318" s="2" t="str">
        <f>"4.2.2.00.01- Variações monetárias ativas"</f>
        <v>4.2.2.00.01- Variações monetárias ativas</v>
      </c>
      <c r="B318" s="10">
        <v>829.41</v>
      </c>
      <c r="C318" s="10">
        <v>68.25</v>
      </c>
      <c r="D318" s="10">
        <v>897.66</v>
      </c>
    </row>
    <row r="319" spans="1:4" x14ac:dyDescent="0.25">
      <c r="A319" s="2" t="str">
        <f>"4.3.0.00.00- OUTRAS RECEITAS"</f>
        <v>4.3.0.00.00- OUTRAS RECEITAS</v>
      </c>
      <c r="B319" s="10">
        <v>1145696.1399999999</v>
      </c>
      <c r="C319" s="10">
        <v>93348.7</v>
      </c>
      <c r="D319" s="10">
        <v>1239044.8400000001</v>
      </c>
    </row>
    <row r="320" spans="1:4" x14ac:dyDescent="0.25">
      <c r="A320" s="2" t="str">
        <f>"4.3.1.00.00- OUTRAS RECEITAS"</f>
        <v>4.3.1.00.00- OUTRAS RECEITAS</v>
      </c>
      <c r="B320" s="10">
        <v>1145696.1399999999</v>
      </c>
      <c r="C320" s="10">
        <v>93348.7</v>
      </c>
      <c r="D320" s="10">
        <v>1239044.8400000001</v>
      </c>
    </row>
    <row r="321" spans="1:4" x14ac:dyDescent="0.25">
      <c r="A321" s="2" t="str">
        <f>"4.3.1.00.04- Receitas Diversas"</f>
        <v>4.3.1.00.04- Receitas Diversas</v>
      </c>
      <c r="B321" s="10">
        <v>653747.79</v>
      </c>
      <c r="C321" s="10">
        <v>79323.7</v>
      </c>
      <c r="D321" s="10">
        <v>733071.49</v>
      </c>
    </row>
    <row r="322" spans="1:4" x14ac:dyDescent="0.25">
      <c r="A322" s="2" t="str">
        <f>"4.3.1.00.05- Ganhos ou perdas de Capital"</f>
        <v>4.3.1.00.05- Ganhos ou perdas de Capital</v>
      </c>
      <c r="B322" s="10">
        <v>9840</v>
      </c>
      <c r="C322" s="10">
        <v>0</v>
      </c>
      <c r="D322" s="10">
        <v>9840</v>
      </c>
    </row>
    <row r="323" spans="1:4" x14ac:dyDescent="0.25">
      <c r="A323" s="2" t="str">
        <f>"4.3.1.00.07- Concessão de Abrigo de ônibus"</f>
        <v>4.3.1.00.07- Concessão de Abrigo de ônibus</v>
      </c>
      <c r="B323" s="10">
        <v>482108.35</v>
      </c>
      <c r="C323" s="10">
        <v>14025</v>
      </c>
      <c r="D323" s="10">
        <v>496133.35</v>
      </c>
    </row>
    <row r="324" spans="1:4" x14ac:dyDescent="0.25">
      <c r="A324" s="2" t="str">
        <f>""</f>
        <v/>
      </c>
      <c r="B324" s="3" t="str">
        <f>""</f>
        <v/>
      </c>
      <c r="C324" s="3" t="str">
        <f>""</f>
        <v/>
      </c>
      <c r="D324" s="3" t="str">
        <f>""</f>
        <v/>
      </c>
    </row>
    <row r="325" spans="1:4" x14ac:dyDescent="0.25">
      <c r="A325" s="2" t="str">
        <f>""</f>
        <v/>
      </c>
      <c r="B325" s="3" t="str">
        <f>""</f>
        <v/>
      </c>
      <c r="C325" s="3" t="str">
        <f>""</f>
        <v/>
      </c>
      <c r="D325" s="3" t="str">
        <f>""</f>
        <v/>
      </c>
    </row>
    <row r="326" spans="1:4" x14ac:dyDescent="0.25">
      <c r="A326" s="2" t="str">
        <f>""</f>
        <v/>
      </c>
      <c r="B326" s="3" t="str">
        <f>""</f>
        <v/>
      </c>
      <c r="C326" s="3" t="str">
        <f>""</f>
        <v/>
      </c>
      <c r="D326" s="3" t="str">
        <f>""</f>
        <v/>
      </c>
    </row>
    <row r="327" spans="1:4" x14ac:dyDescent="0.25">
      <c r="A327" s="2" t="str">
        <f>""</f>
        <v/>
      </c>
      <c r="B327" s="3" t="str">
        <f>""</f>
        <v/>
      </c>
      <c r="C327" s="3" t="str">
        <f>""</f>
        <v/>
      </c>
      <c r="D327" s="3" t="str">
        <f>""</f>
        <v/>
      </c>
    </row>
    <row r="328" spans="1:4" x14ac:dyDescent="0.25">
      <c r="A328" s="2" t="str">
        <f>""</f>
        <v/>
      </c>
      <c r="B328" s="3" t="str">
        <f>""</f>
        <v/>
      </c>
      <c r="C328" s="3" t="str">
        <f>""</f>
        <v/>
      </c>
      <c r="D328" s="3" t="str">
        <f>""</f>
        <v/>
      </c>
    </row>
    <row r="329" spans="1:4" x14ac:dyDescent="0.25">
      <c r="A329" s="2" t="str">
        <f>""</f>
        <v/>
      </c>
      <c r="B329" s="3" t="str">
        <f>""</f>
        <v/>
      </c>
      <c r="C329" s="3" t="str">
        <f>""</f>
        <v/>
      </c>
      <c r="D329" s="3" t="str">
        <f>""</f>
        <v/>
      </c>
    </row>
    <row r="330" spans="1:4" x14ac:dyDescent="0.25">
      <c r="A330" s="2" t="str">
        <f>""</f>
        <v/>
      </c>
      <c r="B330" s="3" t="str">
        <f>""</f>
        <v/>
      </c>
      <c r="C330" s="3" t="str">
        <f>""</f>
        <v/>
      </c>
      <c r="D330" s="3" t="str">
        <f>""</f>
        <v/>
      </c>
    </row>
    <row r="331" spans="1:4" x14ac:dyDescent="0.25">
      <c r="A331" s="2" t="str">
        <f>""</f>
        <v/>
      </c>
      <c r="B331" s="3" t="str">
        <f>""</f>
        <v/>
      </c>
      <c r="C331" s="3" t="str">
        <f>""</f>
        <v/>
      </c>
      <c r="D331" s="3" t="str">
        <f>""</f>
        <v/>
      </c>
    </row>
    <row r="332" spans="1:4" x14ac:dyDescent="0.25">
      <c r="A332" s="2" t="str">
        <f>""</f>
        <v/>
      </c>
      <c r="B332" s="3" t="str">
        <f>""</f>
        <v/>
      </c>
      <c r="C332" s="3" t="str">
        <f>""</f>
        <v/>
      </c>
      <c r="D332" s="3" t="str">
        <f>""</f>
        <v/>
      </c>
    </row>
    <row r="333" spans="1:4" x14ac:dyDescent="0.25">
      <c r="A333" s="2" t="str">
        <f>""</f>
        <v/>
      </c>
      <c r="B333" s="3" t="str">
        <f>""</f>
        <v/>
      </c>
      <c r="C333" s="3" t="str">
        <f>""</f>
        <v/>
      </c>
      <c r="D333" s="3" t="str">
        <f>""</f>
        <v/>
      </c>
    </row>
    <row r="334" spans="1:4" x14ac:dyDescent="0.25">
      <c r="A334" s="2" t="str">
        <f>""</f>
        <v/>
      </c>
      <c r="B334" s="3" t="str">
        <f>""</f>
        <v/>
      </c>
      <c r="C334" s="3" t="str">
        <f>""</f>
        <v/>
      </c>
      <c r="D334" s="3" t="str">
        <f>""</f>
        <v/>
      </c>
    </row>
    <row r="335" spans="1:4" x14ac:dyDescent="0.25">
      <c r="A335" s="2" t="str">
        <f>""</f>
        <v/>
      </c>
      <c r="B335" s="3" t="str">
        <f>""</f>
        <v/>
      </c>
      <c r="C335" s="3" t="str">
        <f>""</f>
        <v/>
      </c>
      <c r="D335" s="3" t="str">
        <f>""</f>
        <v/>
      </c>
    </row>
    <row r="336" spans="1:4" x14ac:dyDescent="0.25">
      <c r="A336" s="2" t="str">
        <f>""</f>
        <v/>
      </c>
      <c r="B336" s="3" t="str">
        <f>""</f>
        <v/>
      </c>
      <c r="C336" s="3" t="str">
        <f>""</f>
        <v/>
      </c>
      <c r="D336" s="3" t="str">
        <f>""</f>
        <v/>
      </c>
    </row>
    <row r="337" spans="1:4" x14ac:dyDescent="0.25">
      <c r="A337" s="2" t="str">
        <f>""</f>
        <v/>
      </c>
      <c r="B337" s="3" t="str">
        <f>""</f>
        <v/>
      </c>
      <c r="C337" s="3" t="str">
        <f>""</f>
        <v/>
      </c>
      <c r="D337" s="3" t="str">
        <f>""</f>
        <v/>
      </c>
    </row>
    <row r="338" spans="1:4" x14ac:dyDescent="0.25">
      <c r="A338" s="2" t="str">
        <f>""</f>
        <v/>
      </c>
      <c r="B338" s="3" t="str">
        <f>""</f>
        <v/>
      </c>
      <c r="C338" s="3" t="str">
        <f>""</f>
        <v/>
      </c>
      <c r="D338" s="3" t="str">
        <f>""</f>
        <v/>
      </c>
    </row>
    <row r="339" spans="1:4" x14ac:dyDescent="0.25">
      <c r="A339" s="2" t="str">
        <f>""</f>
        <v/>
      </c>
      <c r="B339" s="3" t="str">
        <f>""</f>
        <v/>
      </c>
      <c r="C339" s="3" t="str">
        <f>""</f>
        <v/>
      </c>
      <c r="D339" s="3" t="str">
        <f>""</f>
        <v/>
      </c>
    </row>
    <row r="340" spans="1:4" x14ac:dyDescent="0.25">
      <c r="A340" s="2" t="str">
        <f>""</f>
        <v/>
      </c>
      <c r="B340" s="3" t="str">
        <f>""</f>
        <v/>
      </c>
      <c r="C340" s="3" t="str">
        <f>""</f>
        <v/>
      </c>
      <c r="D340" s="3" t="str">
        <f>""</f>
        <v/>
      </c>
    </row>
    <row r="341" spans="1:4" x14ac:dyDescent="0.25">
      <c r="A341" s="2" t="str">
        <f>""</f>
        <v/>
      </c>
      <c r="B341" s="3" t="str">
        <f>""</f>
        <v/>
      </c>
      <c r="C341" s="3" t="str">
        <f>""</f>
        <v/>
      </c>
      <c r="D341" s="3" t="str">
        <f>""</f>
        <v/>
      </c>
    </row>
    <row r="342" spans="1:4" x14ac:dyDescent="0.25">
      <c r="A342" s="2" t="str">
        <f>""</f>
        <v/>
      </c>
      <c r="B342" s="3" t="str">
        <f>""</f>
        <v/>
      </c>
      <c r="C342" s="3" t="str">
        <f>""</f>
        <v/>
      </c>
      <c r="D342" s="3" t="str">
        <f>""</f>
        <v/>
      </c>
    </row>
    <row r="343" spans="1:4" x14ac:dyDescent="0.25">
      <c r="A343" s="2" t="str">
        <f>""</f>
        <v/>
      </c>
      <c r="B343" s="3" t="str">
        <f>""</f>
        <v/>
      </c>
      <c r="C343" s="3" t="str">
        <f>""</f>
        <v/>
      </c>
      <c r="D343" s="3" t="str">
        <f>""</f>
        <v/>
      </c>
    </row>
    <row r="344" spans="1:4" x14ac:dyDescent="0.25">
      <c r="A344" s="2" t="str">
        <f>""</f>
        <v/>
      </c>
      <c r="B344" s="3" t="str">
        <f>""</f>
        <v/>
      </c>
      <c r="C344" s="3" t="str">
        <f>""</f>
        <v/>
      </c>
      <c r="D344" s="3" t="str">
        <f>""</f>
        <v/>
      </c>
    </row>
    <row r="345" spans="1:4" x14ac:dyDescent="0.25">
      <c r="A345" s="2" t="str">
        <f>""</f>
        <v/>
      </c>
      <c r="B345" s="3" t="str">
        <f>""</f>
        <v/>
      </c>
      <c r="C345" s="3" t="str">
        <f>""</f>
        <v/>
      </c>
      <c r="D345" s="3" t="str">
        <f>""</f>
        <v/>
      </c>
    </row>
    <row r="346" spans="1:4" x14ac:dyDescent="0.25">
      <c r="A346" s="2" t="str">
        <f>""</f>
        <v/>
      </c>
      <c r="B346" s="3" t="str">
        <f>""</f>
        <v/>
      </c>
      <c r="C346" s="3" t="str">
        <f>""</f>
        <v/>
      </c>
      <c r="D346" s="3" t="str">
        <f>""</f>
        <v/>
      </c>
    </row>
    <row r="347" spans="1:4" x14ac:dyDescent="0.25">
      <c r="A347" s="2" t="str">
        <f>""</f>
        <v/>
      </c>
      <c r="B347" s="3" t="str">
        <f>""</f>
        <v/>
      </c>
      <c r="C347" s="3" t="str">
        <f>""</f>
        <v/>
      </c>
      <c r="D347" s="3" t="str">
        <f>""</f>
        <v/>
      </c>
    </row>
    <row r="348" spans="1:4" ht="15.75" thickBot="1" x14ac:dyDescent="0.3">
      <c r="A348" s="4" t="str">
        <f>"APURACAO DE RESULTADOS"</f>
        <v>APURACAO DE RESULTADOS</v>
      </c>
      <c r="B348" s="5" t="str">
        <f>""</f>
        <v/>
      </c>
      <c r="C348" s="5" t="str">
        <f>""</f>
        <v/>
      </c>
      <c r="D348" s="5" t="str">
        <f>""</f>
        <v/>
      </c>
    </row>
    <row r="349" spans="1:4" x14ac:dyDescent="0.25">
      <c r="A349" t="s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2"/>
  <sheetViews>
    <sheetView workbookViewId="0">
      <selection activeCell="F1" sqref="F1"/>
    </sheetView>
  </sheetViews>
  <sheetFormatPr defaultRowHeight="15" x14ac:dyDescent="0.25"/>
  <cols>
    <col min="1" max="1" width="71.5703125" bestFit="1" customWidth="1"/>
    <col min="2" max="2" width="14.5703125" bestFit="1" customWidth="1"/>
    <col min="3" max="3" width="14.28515625" bestFit="1" customWidth="1"/>
    <col min="4" max="4" width="14.5703125" bestFit="1" customWidth="1"/>
  </cols>
  <sheetData>
    <row r="1" spans="1:4" ht="19.5" thickBot="1" x14ac:dyDescent="0.35">
      <c r="A1" s="1" t="s">
        <v>11</v>
      </c>
      <c r="B1" s="1"/>
      <c r="C1" s="1"/>
      <c r="D1" s="1"/>
    </row>
    <row r="2" spans="1:4" ht="15.75" thickBot="1" x14ac:dyDescent="0.3">
      <c r="A2" s="8" t="s">
        <v>13</v>
      </c>
      <c r="B2" s="9" t="s">
        <v>14</v>
      </c>
      <c r="C2" s="9" t="s">
        <v>15</v>
      </c>
      <c r="D2" s="9" t="s">
        <v>16</v>
      </c>
    </row>
    <row r="3" spans="1:4" x14ac:dyDescent="0.25">
      <c r="A3" s="6" t="str">
        <f>"ATIVO"</f>
        <v>ATIVO</v>
      </c>
      <c r="B3" s="7" t="str">
        <f>""</f>
        <v/>
      </c>
      <c r="C3" s="7" t="str">
        <f>""</f>
        <v/>
      </c>
      <c r="D3" s="7" t="str">
        <f>""</f>
        <v/>
      </c>
    </row>
    <row r="4" spans="1:4" x14ac:dyDescent="0.25">
      <c r="A4" s="2" t="str">
        <f>"1.0.0.00.00- ATIVO"</f>
        <v>1.0.0.00.00- ATIVO</v>
      </c>
      <c r="B4" s="10">
        <v>44945280.469999999</v>
      </c>
      <c r="C4" s="10">
        <v>1268609.8999999999</v>
      </c>
      <c r="D4" s="10">
        <v>46213890.369999997</v>
      </c>
    </row>
    <row r="5" spans="1:4" x14ac:dyDescent="0.25">
      <c r="A5" s="2" t="str">
        <f>"1.1.0.00.00- ATIVO CIRCULANTE"</f>
        <v>1.1.0.00.00- ATIVO CIRCULANTE</v>
      </c>
      <c r="B5" s="10">
        <v>31986863.239999998</v>
      </c>
      <c r="C5" s="10">
        <v>1409212.99</v>
      </c>
      <c r="D5" s="10">
        <v>33396076.23</v>
      </c>
    </row>
    <row r="6" spans="1:4" x14ac:dyDescent="0.25">
      <c r="A6" s="2" t="str">
        <f>"1.1.1.00.00- DISPONIVEL"</f>
        <v>1.1.1.00.00- DISPONIVEL</v>
      </c>
      <c r="B6" s="10">
        <v>15517450.289999999</v>
      </c>
      <c r="C6" s="10">
        <v>617906.38</v>
      </c>
      <c r="D6" s="10">
        <v>16135356.67</v>
      </c>
    </row>
    <row r="7" spans="1:4" x14ac:dyDescent="0.25">
      <c r="A7" s="2" t="str">
        <f>"1.1.1.01.00- CAIXA GERAL"</f>
        <v>1.1.1.01.00- CAIXA GERAL</v>
      </c>
      <c r="B7" s="10">
        <v>1195.9000000000001</v>
      </c>
      <c r="C7" s="10">
        <v>-320</v>
      </c>
      <c r="D7" s="10">
        <v>875.9</v>
      </c>
    </row>
    <row r="8" spans="1:4" x14ac:dyDescent="0.25">
      <c r="A8" s="2" t="str">
        <f>"1.1.1.01.04- Caixa - Georf"</f>
        <v>1.1.1.01.04- Caixa - Georf</v>
      </c>
      <c r="B8" s="10">
        <v>320</v>
      </c>
      <c r="C8" s="10">
        <v>-320</v>
      </c>
      <c r="D8" s="10">
        <v>0</v>
      </c>
    </row>
    <row r="9" spans="1:4" x14ac:dyDescent="0.25">
      <c r="A9" s="2" t="str">
        <f>"1.1.1.01.08- Caixa - AJU"</f>
        <v>1.1.1.01.08- Caixa - AJU</v>
      </c>
      <c r="B9" s="10">
        <v>480</v>
      </c>
      <c r="C9" s="10">
        <v>0</v>
      </c>
      <c r="D9" s="10">
        <v>480</v>
      </c>
    </row>
    <row r="10" spans="1:4" x14ac:dyDescent="0.25">
      <c r="A10" s="2" t="str">
        <f>"1.1.1.01.09- Caixa - GEAMP"</f>
        <v>1.1.1.01.09- Caixa - GEAMP</v>
      </c>
      <c r="B10" s="10">
        <v>395.9</v>
      </c>
      <c r="C10" s="10">
        <v>0</v>
      </c>
      <c r="D10" s="10">
        <v>395.9</v>
      </c>
    </row>
    <row r="11" spans="1:4" x14ac:dyDescent="0.25">
      <c r="A11" s="2" t="str">
        <f>"1.1.1.02.00- BANCOS C/MOVIMENTO"</f>
        <v>1.1.1.02.00- BANCOS C/MOVIMENTO</v>
      </c>
      <c r="B11" s="10">
        <v>382972.9</v>
      </c>
      <c r="C11" s="10">
        <v>-192650.63</v>
      </c>
      <c r="D11" s="10">
        <v>190322.27</v>
      </c>
    </row>
    <row r="12" spans="1:4" x14ac:dyDescent="0.25">
      <c r="A12" s="2" t="str">
        <f>"1.1.1.02.11- Banco do Brasil S/A - 720.000-5"</f>
        <v>1.1.1.02.11- Banco do Brasil S/A - 720.000-5</v>
      </c>
      <c r="B12" s="10">
        <v>149.03</v>
      </c>
      <c r="C12" s="10">
        <v>-46.95</v>
      </c>
      <c r="D12" s="10">
        <v>102.08</v>
      </c>
    </row>
    <row r="13" spans="1:4" x14ac:dyDescent="0.25">
      <c r="A13" s="2" t="str">
        <f>"1.1.1.02.12- Banco do Brasil S/A - 720.001-3"</f>
        <v>1.1.1.02.12- Banco do Brasil S/A - 720.001-3</v>
      </c>
      <c r="B13" s="10">
        <v>446.14</v>
      </c>
      <c r="C13" s="10">
        <v>-13640.11</v>
      </c>
      <c r="D13" s="10">
        <v>-13193.97</v>
      </c>
    </row>
    <row r="14" spans="1:4" x14ac:dyDescent="0.25">
      <c r="A14" s="2" t="str">
        <f>"1.1.1.02.15- Banco do Brasil S/A - 7.218-4"</f>
        <v>1.1.1.02.15- Banco do Brasil S/A - 7.218-4</v>
      </c>
      <c r="B14" s="10">
        <v>426.91</v>
      </c>
      <c r="C14" s="10">
        <v>-425.85</v>
      </c>
      <c r="D14" s="10">
        <v>1.06</v>
      </c>
    </row>
    <row r="15" spans="1:4" x14ac:dyDescent="0.25">
      <c r="A15" s="2" t="str">
        <f>"1.1.1.02.29- Caixa Econômica Federal - 3289-3 Arrecad"</f>
        <v>1.1.1.02.29- Caixa Econômica Federal - 3289-3 Arrecad</v>
      </c>
      <c r="B15" s="10">
        <v>39441.839999999997</v>
      </c>
      <c r="C15" s="10">
        <v>-37406.17</v>
      </c>
      <c r="D15" s="10">
        <v>2035.67</v>
      </c>
    </row>
    <row r="16" spans="1:4" x14ac:dyDescent="0.25">
      <c r="A16" s="2" t="str">
        <f>"1.1.1.02.30- Caixa Econômica Federal - 3291-5 Movimen"</f>
        <v>1.1.1.02.30- Caixa Econômica Federal - 3291-5 Movimen</v>
      </c>
      <c r="B16" s="10">
        <v>-158.69999999999999</v>
      </c>
      <c r="C16" s="10">
        <v>13973.07</v>
      </c>
      <c r="D16" s="10">
        <v>13814.37</v>
      </c>
    </row>
    <row r="17" spans="1:4" x14ac:dyDescent="0.25">
      <c r="A17" s="2" t="str">
        <f>"1.1.1.02.32- Caixa Econômica Federal - 3292-3 Leilão"</f>
        <v>1.1.1.02.32- Caixa Econômica Federal - 3292-3 Leilão</v>
      </c>
      <c r="B17" s="10">
        <v>80</v>
      </c>
      <c r="C17" s="10">
        <v>0</v>
      </c>
      <c r="D17" s="10">
        <v>80</v>
      </c>
    </row>
    <row r="18" spans="1:4" x14ac:dyDescent="0.25">
      <c r="A18" s="2" t="str">
        <f>"1.1.1.02.33- Caixa Econômica Federal - 3295-8Leilão13"</f>
        <v>1.1.1.02.33- Caixa Econômica Federal - 3295-8Leilão13</v>
      </c>
      <c r="B18" s="10">
        <v>80</v>
      </c>
      <c r="C18" s="10">
        <v>-80</v>
      </c>
      <c r="D18" s="10">
        <v>0</v>
      </c>
    </row>
    <row r="19" spans="1:4" x14ac:dyDescent="0.25">
      <c r="A19" s="2" t="str">
        <f>"1.1.1.02.37- Caixa Econômica Federal - 3299-0Leilão16"</f>
        <v>1.1.1.02.37- Caixa Econômica Federal - 3299-0Leilão16</v>
      </c>
      <c r="B19" s="10">
        <v>80</v>
      </c>
      <c r="C19" s="10">
        <v>0</v>
      </c>
      <c r="D19" s="10">
        <v>80</v>
      </c>
    </row>
    <row r="20" spans="1:4" x14ac:dyDescent="0.25">
      <c r="A20" s="2" t="str">
        <f>"1.1.1.02.39- Caixa Econômica Federal - 3301-6 Mídia"</f>
        <v>1.1.1.02.39- Caixa Econômica Federal - 3301-6 Mídia</v>
      </c>
      <c r="B20" s="10">
        <v>29617.49</v>
      </c>
      <c r="C20" s="10">
        <v>-26219.51</v>
      </c>
      <c r="D20" s="10">
        <v>3397.98</v>
      </c>
    </row>
    <row r="21" spans="1:4" x14ac:dyDescent="0.25">
      <c r="A21" s="2" t="str">
        <f>"1.1.1.02.40- Caixa Econômica Federal - 3302-4 Mídia"</f>
        <v>1.1.1.02.40- Caixa Econômica Federal - 3302-4 Mídia</v>
      </c>
      <c r="B21" s="10">
        <v>72642.59</v>
      </c>
      <c r="C21" s="10">
        <v>1174.72</v>
      </c>
      <c r="D21" s="10">
        <v>73817.31</v>
      </c>
    </row>
    <row r="22" spans="1:4" x14ac:dyDescent="0.25">
      <c r="A22" s="2" t="str">
        <f>"1.1.1.02.41- Caixa Econômica Federal - 3303-2Rotativo"</f>
        <v>1.1.1.02.41- Caixa Econômica Federal - 3303-2Rotativo</v>
      </c>
      <c r="B22" s="10">
        <v>209915.79</v>
      </c>
      <c r="C22" s="10">
        <v>-101871.63</v>
      </c>
      <c r="D22" s="10">
        <v>108044.16</v>
      </c>
    </row>
    <row r="23" spans="1:4" x14ac:dyDescent="0.25">
      <c r="A23" s="2" t="str">
        <f>"1.1.1.02.46- Caixa Econômica Federal - 3309-1 Rot int"</f>
        <v>1.1.1.02.46- Caixa Econômica Federal - 3309-1 Rot int</v>
      </c>
      <c r="B23" s="10">
        <v>2664</v>
      </c>
      <c r="C23" s="10">
        <v>-1086</v>
      </c>
      <c r="D23" s="10">
        <v>1578</v>
      </c>
    </row>
    <row r="24" spans="1:4" x14ac:dyDescent="0.25">
      <c r="A24" s="2" t="str">
        <f>"1.1.1.02.48- Caixa Econômica Federal - 3393-8Leilão17"</f>
        <v>1.1.1.02.48- Caixa Econômica Federal - 3393-8Leilão17</v>
      </c>
      <c r="B24" s="10">
        <v>27587.81</v>
      </c>
      <c r="C24" s="10">
        <v>-27022.2</v>
      </c>
      <c r="D24" s="10">
        <v>565.61</v>
      </c>
    </row>
    <row r="25" spans="1:4" x14ac:dyDescent="0.25">
      <c r="A25" s="2" t="str">
        <f>"1.1.1.03.00- APLICACOES FINANCEIRAS"</f>
        <v>1.1.1.03.00- APLICACOES FINANCEIRAS</v>
      </c>
      <c r="B25" s="10">
        <v>12434761.800000001</v>
      </c>
      <c r="C25" s="10">
        <v>851740.25</v>
      </c>
      <c r="D25" s="10">
        <v>13286502.050000001</v>
      </c>
    </row>
    <row r="26" spans="1:4" x14ac:dyDescent="0.25">
      <c r="A26" s="2" t="str">
        <f>"1.1.1.03.23- Caixa Econômica Federal - 3291-5"</f>
        <v>1.1.1.03.23- Caixa Econômica Federal - 3291-5</v>
      </c>
      <c r="B26" s="10">
        <v>11196430.4</v>
      </c>
      <c r="C26" s="10">
        <v>829806.71</v>
      </c>
      <c r="D26" s="10">
        <v>12026237.109999999</v>
      </c>
    </row>
    <row r="27" spans="1:4" x14ac:dyDescent="0.25">
      <c r="A27" s="2" t="str">
        <f>"1.1.1.03.25- Caixa Econômica Federal - 3292-3 Leilão"</f>
        <v>1.1.1.03.25- Caixa Econômica Federal - 3292-3 Leilão</v>
      </c>
      <c r="B27" s="10">
        <v>71918.39</v>
      </c>
      <c r="C27" s="10">
        <v>-51.13</v>
      </c>
      <c r="D27" s="10">
        <v>71867.259999999995</v>
      </c>
    </row>
    <row r="28" spans="1:4" x14ac:dyDescent="0.25">
      <c r="A28" s="2" t="str">
        <f>"1.1.1.03.26- Caixa Econômica Federal - 3295-8Leilão13"</f>
        <v>1.1.1.03.26- Caixa Econômica Federal - 3295-8Leilão13</v>
      </c>
      <c r="B28" s="10">
        <v>199885.11</v>
      </c>
      <c r="C28" s="10">
        <v>-3064.39</v>
      </c>
      <c r="D28" s="10">
        <v>196820.72</v>
      </c>
    </row>
    <row r="29" spans="1:4" x14ac:dyDescent="0.25">
      <c r="A29" s="2" t="str">
        <f>"1.1.1.03.29- Caixa Econômica Federal - 3298-2Leilão15"</f>
        <v>1.1.1.03.29- Caixa Econômica Federal - 3298-2Leilão15</v>
      </c>
      <c r="B29" s="10">
        <v>98614.6</v>
      </c>
      <c r="C29" s="10">
        <v>-76.16</v>
      </c>
      <c r="D29" s="10">
        <v>98538.44</v>
      </c>
    </row>
    <row r="30" spans="1:4" x14ac:dyDescent="0.25">
      <c r="A30" s="2" t="str">
        <f>"1.1.1.03.30- Caixa Econômica Federal - 3299-0Leilão16"</f>
        <v>1.1.1.03.30- Caixa Econômica Federal - 3299-0Leilão16</v>
      </c>
      <c r="B30" s="10">
        <v>123887.83</v>
      </c>
      <c r="C30" s="10">
        <v>-88.08</v>
      </c>
      <c r="D30" s="10">
        <v>123799.75</v>
      </c>
    </row>
    <row r="31" spans="1:4" x14ac:dyDescent="0.25">
      <c r="A31" s="2" t="str">
        <f>"1.1.1.03.31- Caixa Econômica Federal - 3300-8Leilão16"</f>
        <v>1.1.1.03.31- Caixa Econômica Federal - 3300-8Leilão16</v>
      </c>
      <c r="B31" s="10">
        <v>44555.49</v>
      </c>
      <c r="C31" s="10">
        <v>-34.409999999999997</v>
      </c>
      <c r="D31" s="10">
        <v>44521.08</v>
      </c>
    </row>
    <row r="32" spans="1:4" x14ac:dyDescent="0.25">
      <c r="A32" s="2" t="str">
        <f>"1.1.1.03.32- Caixa Econômica - 3301-6 Mídia"</f>
        <v>1.1.1.03.32- Caixa Econômica - 3301-6 Mídia</v>
      </c>
      <c r="B32" s="10">
        <v>72994.16</v>
      </c>
      <c r="C32" s="10">
        <v>2288.29</v>
      </c>
      <c r="D32" s="10">
        <v>75282.45</v>
      </c>
    </row>
    <row r="33" spans="1:4" x14ac:dyDescent="0.25">
      <c r="A33" s="2" t="str">
        <f>"1.1.1.03.35- Caixa Econômica - 3304-0Caução"</f>
        <v>1.1.1.03.35- Caixa Econômica - 3304-0Caução</v>
      </c>
      <c r="B33" s="10">
        <v>423617.21</v>
      </c>
      <c r="C33" s="10">
        <v>-290.73</v>
      </c>
      <c r="D33" s="10">
        <v>423326.48</v>
      </c>
    </row>
    <row r="34" spans="1:4" x14ac:dyDescent="0.25">
      <c r="A34" s="2" t="str">
        <f>"1.1.1.03.36- Caixa Econômica - 3305-9Sucumb."</f>
        <v>1.1.1.03.36- Caixa Econômica - 3305-9Sucumb.</v>
      </c>
      <c r="B34" s="10">
        <v>4600.12</v>
      </c>
      <c r="C34" s="10">
        <v>31843.62</v>
      </c>
      <c r="D34" s="10">
        <v>36443.74</v>
      </c>
    </row>
    <row r="35" spans="1:4" x14ac:dyDescent="0.25">
      <c r="A35" s="2" t="str">
        <f>"1.1.1.03.38- Caixa Econômica - 3308-3Leilão"</f>
        <v>1.1.1.03.38- Caixa Econômica - 3308-3Leilão</v>
      </c>
      <c r="B35" s="10">
        <v>2132.36</v>
      </c>
      <c r="C35" s="10">
        <v>-1.73</v>
      </c>
      <c r="D35" s="10">
        <v>2130.63</v>
      </c>
    </row>
    <row r="36" spans="1:4" x14ac:dyDescent="0.25">
      <c r="A36" s="2" t="str">
        <f>"1.1.1.03.41- Caixa Econômica - 531-0 Aci moto poupanç"</f>
        <v>1.1.1.03.41- Caixa Econômica - 531-0 Aci moto poupanç</v>
      </c>
      <c r="B36" s="10">
        <v>4369.03</v>
      </c>
      <c r="C36" s="10">
        <v>0</v>
      </c>
      <c r="D36" s="10">
        <v>4369.03</v>
      </c>
    </row>
    <row r="37" spans="1:4" x14ac:dyDescent="0.25">
      <c r="A37" s="2" t="str">
        <f>"1.1.1.03.42- Caixa Econômica - 532-9 Acid Ped Poupanç"</f>
        <v>1.1.1.03.42- Caixa Econômica - 532-9 Acid Ped Poupanç</v>
      </c>
      <c r="B37" s="10">
        <v>103761.34</v>
      </c>
      <c r="C37" s="10">
        <v>-8591.74</v>
      </c>
      <c r="D37" s="10">
        <v>95169.600000000006</v>
      </c>
    </row>
    <row r="38" spans="1:4" x14ac:dyDescent="0.25">
      <c r="A38" s="2" t="str">
        <f>"1.1.1.03.43- Caixa Econômica - 534-5 Codemig Poupança"</f>
        <v>1.1.1.03.43- Caixa Econômica - 534-5 Codemig Poupança</v>
      </c>
      <c r="B38" s="10">
        <v>25433.05</v>
      </c>
      <c r="C38" s="10">
        <v>0</v>
      </c>
      <c r="D38" s="10">
        <v>25433.05</v>
      </c>
    </row>
    <row r="39" spans="1:4" x14ac:dyDescent="0.25">
      <c r="A39" s="2" t="str">
        <f>"1.1.1.03.44- Caixa Econômica - 535-3 Turblog Poupança"</f>
        <v>1.1.1.03.44- Caixa Econômica - 535-3 Turblog Poupança</v>
      </c>
      <c r="B39" s="10">
        <v>62562.71</v>
      </c>
      <c r="C39" s="10">
        <v>0</v>
      </c>
      <c r="D39" s="10">
        <v>62562.71</v>
      </c>
    </row>
    <row r="40" spans="1:4" x14ac:dyDescent="0.25">
      <c r="A40" s="2" t="str">
        <f>"1.1.1.04.00- BANCOS C/VINCULADA-PAMEH"</f>
        <v>1.1.1.04.00- BANCOS C/VINCULADA-PAMEH</v>
      </c>
      <c r="B40" s="10">
        <v>2698519.69</v>
      </c>
      <c r="C40" s="10">
        <v>-40863.24</v>
      </c>
      <c r="D40" s="10">
        <v>2657656.4500000002</v>
      </c>
    </row>
    <row r="41" spans="1:4" x14ac:dyDescent="0.25">
      <c r="A41" s="2" t="str">
        <f>"1.1.1.04.07- Caixa Econômica Federal - 3294-0"</f>
        <v>1.1.1.04.07- Caixa Econômica Federal - 3294-0</v>
      </c>
      <c r="B41" s="10">
        <v>0</v>
      </c>
      <c r="C41" s="10">
        <v>1215.28</v>
      </c>
      <c r="D41" s="10">
        <v>1215.28</v>
      </c>
    </row>
    <row r="42" spans="1:4" x14ac:dyDescent="0.25">
      <c r="A42" s="2" t="str">
        <f>"1.1.1.04.08- Caixa Econômica Federal - 3294-0 Aplic."</f>
        <v>1.1.1.04.08- Caixa Econômica Federal - 3294-0 Aplic.</v>
      </c>
      <c r="B42" s="10">
        <v>2698519.69</v>
      </c>
      <c r="C42" s="10">
        <v>-42078.52</v>
      </c>
      <c r="D42" s="10">
        <v>2656441.17</v>
      </c>
    </row>
    <row r="43" spans="1:4" x14ac:dyDescent="0.25">
      <c r="A43" s="2" t="str">
        <f>"1.1.2.00.00- REALIZAVEL A CURTO PRAZO"</f>
        <v>1.1.2.00.00- REALIZAVEL A CURTO PRAZO</v>
      </c>
      <c r="B43" s="10">
        <v>16469412.949999999</v>
      </c>
      <c r="C43" s="10">
        <v>791306.61</v>
      </c>
      <c r="D43" s="10">
        <v>17260719.559999999</v>
      </c>
    </row>
    <row r="44" spans="1:4" x14ac:dyDescent="0.25">
      <c r="A44" s="2" t="str">
        <f>"1.1.2.01.00- CONTAS A RECEBER"</f>
        <v>1.1.2.01.00- CONTAS A RECEBER</v>
      </c>
      <c r="B44" s="10">
        <v>9940351.7599999998</v>
      </c>
      <c r="C44" s="10">
        <v>664690.9</v>
      </c>
      <c r="D44" s="10">
        <v>10605042.66</v>
      </c>
    </row>
    <row r="45" spans="1:4" x14ac:dyDescent="0.25">
      <c r="A45" s="2" t="str">
        <f>"1.1.2.01.89- Multas Transporte Coletivo"</f>
        <v>1.1.2.01.89- Multas Transporte Coletivo</v>
      </c>
      <c r="B45" s="10">
        <v>11533288.859999999</v>
      </c>
      <c r="C45" s="10">
        <v>738545.45</v>
      </c>
      <c r="D45" s="10">
        <v>12271834.310000001</v>
      </c>
    </row>
    <row r="46" spans="1:4" x14ac:dyDescent="0.25">
      <c r="A46" s="2" t="str">
        <f>"1.1.2.01.94- Midia Onibus a Receber"</f>
        <v>1.1.2.01.94- Midia Onibus a Receber</v>
      </c>
      <c r="B46" s="10">
        <v>253567.34</v>
      </c>
      <c r="C46" s="10">
        <v>0</v>
      </c>
      <c r="D46" s="10">
        <v>253567.34</v>
      </c>
    </row>
    <row r="47" spans="1:4" x14ac:dyDescent="0.25">
      <c r="A47" s="2" t="str">
        <f>"1.1.2.01.99- (-) Provisao para Perdas"</f>
        <v>1.1.2.01.99- (-) Provisao para Perdas</v>
      </c>
      <c r="B47" s="10">
        <v>-1846504.44</v>
      </c>
      <c r="C47" s="10">
        <v>-73854.55</v>
      </c>
      <c r="D47" s="10">
        <v>-1920358.99</v>
      </c>
    </row>
    <row r="48" spans="1:4" x14ac:dyDescent="0.25">
      <c r="A48" s="2" t="str">
        <f>"1.1.2.06.00- ADIANTAMENTO A EMPREGADOS"</f>
        <v>1.1.2.06.00- ADIANTAMENTO A EMPREGADOS</v>
      </c>
      <c r="B48" s="10">
        <v>3052391.21</v>
      </c>
      <c r="C48" s="10">
        <v>183344.57</v>
      </c>
      <c r="D48" s="10">
        <v>3235735.78</v>
      </c>
    </row>
    <row r="49" spans="1:4" x14ac:dyDescent="0.25">
      <c r="A49" s="2" t="str">
        <f>"1.1.2.06.01- Adiantamento de Ferias"</f>
        <v>1.1.2.06.01- Adiantamento de Ferias</v>
      </c>
      <c r="B49" s="10">
        <v>492398.14</v>
      </c>
      <c r="C49" s="10">
        <v>24315.69</v>
      </c>
      <c r="D49" s="10">
        <v>516713.83</v>
      </c>
    </row>
    <row r="50" spans="1:4" x14ac:dyDescent="0.25">
      <c r="A50" s="2" t="str">
        <f>"1.1.2.06.02- Adiantamento de 13. Salario"</f>
        <v>1.1.2.06.02- Adiantamento de 13. Salario</v>
      </c>
      <c r="B50" s="10">
        <v>2326944.2400000002</v>
      </c>
      <c r="C50" s="10">
        <v>202754.51</v>
      </c>
      <c r="D50" s="10">
        <v>2529698.75</v>
      </c>
    </row>
    <row r="51" spans="1:4" x14ac:dyDescent="0.25">
      <c r="A51" s="2" t="str">
        <f>"1.1.2.06.03- Adiant. de Salario/Parc. Ferias"</f>
        <v>1.1.2.06.03- Adiant. de Salario/Parc. Ferias</v>
      </c>
      <c r="B51" s="10">
        <v>131641.44</v>
      </c>
      <c r="C51" s="10">
        <v>-42447.79</v>
      </c>
      <c r="D51" s="10">
        <v>89193.65</v>
      </c>
    </row>
    <row r="52" spans="1:4" x14ac:dyDescent="0.25">
      <c r="A52" s="2" t="str">
        <f>"1.1.2.06.07- Adiantamento Pensao s/ Ferias"</f>
        <v>1.1.2.06.07- Adiantamento Pensao s/ Ferias</v>
      </c>
      <c r="B52" s="10">
        <v>101407.39</v>
      </c>
      <c r="C52" s="10">
        <v>-1277.8399999999999</v>
      </c>
      <c r="D52" s="10">
        <v>100129.55</v>
      </c>
    </row>
    <row r="53" spans="1:4" x14ac:dyDescent="0.25">
      <c r="A53" s="2" t="str">
        <f>"1.1.2.08.00- ALMOXARIFADO"</f>
        <v>1.1.2.08.00- ALMOXARIFADO</v>
      </c>
      <c r="B53" s="10">
        <v>304163.82</v>
      </c>
      <c r="C53" s="10">
        <v>-11878.17</v>
      </c>
      <c r="D53" s="10">
        <v>292285.65000000002</v>
      </c>
    </row>
    <row r="54" spans="1:4" x14ac:dyDescent="0.25">
      <c r="A54" s="2" t="str">
        <f>"1.1.2.08.01- Material em Estoque"</f>
        <v>1.1.2.08.01- Material em Estoque</v>
      </c>
      <c r="B54" s="10">
        <v>304163.82</v>
      </c>
      <c r="C54" s="10">
        <v>-11878.17</v>
      </c>
      <c r="D54" s="10">
        <v>292285.65000000002</v>
      </c>
    </row>
    <row r="55" spans="1:4" x14ac:dyDescent="0.25">
      <c r="A55" s="2" t="str">
        <f>"1.1.2.10.00- IMPOSTOS E CONTRIB.A RECUPERAR"</f>
        <v>1.1.2.10.00- IMPOSTOS E CONTRIB.A RECUPERAR</v>
      </c>
      <c r="B55" s="10">
        <v>1843350.89</v>
      </c>
      <c r="C55" s="10">
        <v>43225.99</v>
      </c>
      <c r="D55" s="10">
        <v>1886576.88</v>
      </c>
    </row>
    <row r="56" spans="1:4" x14ac:dyDescent="0.25">
      <c r="A56" s="2" t="str">
        <f>"1.1.2.10.01- IR s/Aplicacao Financeira"</f>
        <v>1.1.2.10.01- IR s/Aplicacao Financeira</v>
      </c>
      <c r="B56" s="10">
        <v>462842.67</v>
      </c>
      <c r="C56" s="10">
        <v>43165.22</v>
      </c>
      <c r="D56" s="10">
        <v>506007.89</v>
      </c>
    </row>
    <row r="57" spans="1:4" x14ac:dyDescent="0.25">
      <c r="A57" s="2" t="str">
        <f>"1.1.2.10.08- IRRF a Compensar"</f>
        <v>1.1.2.10.08- IRRF a Compensar</v>
      </c>
      <c r="B57" s="10">
        <v>1454.99</v>
      </c>
      <c r="C57" s="10">
        <v>0</v>
      </c>
      <c r="D57" s="10">
        <v>1454.99</v>
      </c>
    </row>
    <row r="58" spans="1:4" x14ac:dyDescent="0.25">
      <c r="A58" s="2" t="str">
        <f>"1.1.2.10.15- Cofins a Compensar"</f>
        <v>1.1.2.10.15- Cofins a Compensar</v>
      </c>
      <c r="B58" s="10">
        <v>1039251.08</v>
      </c>
      <c r="C58" s="10">
        <v>0.01</v>
      </c>
      <c r="D58" s="10">
        <v>1039251.09</v>
      </c>
    </row>
    <row r="59" spans="1:4" x14ac:dyDescent="0.25">
      <c r="A59" s="2" t="str">
        <f>"1.1.2.10.16- PIS a Compensar"</f>
        <v>1.1.2.10.16- PIS a Compensar</v>
      </c>
      <c r="B59" s="10">
        <v>224393.99</v>
      </c>
      <c r="C59" s="10">
        <v>-0.01</v>
      </c>
      <c r="D59" s="10">
        <v>224393.98</v>
      </c>
    </row>
    <row r="60" spans="1:4" x14ac:dyDescent="0.25">
      <c r="A60" s="2" t="str">
        <f>"1.1.2.10.20- V.M.A PIS a Recuperar"</f>
        <v>1.1.2.10.20- V.M.A PIS a Recuperar</v>
      </c>
      <c r="B60" s="10">
        <v>1313.98</v>
      </c>
      <c r="C60" s="10">
        <v>33.270000000000003</v>
      </c>
      <c r="D60" s="10">
        <v>1347.25</v>
      </c>
    </row>
    <row r="61" spans="1:4" x14ac:dyDescent="0.25">
      <c r="A61" s="2" t="str">
        <f>"1.1.2.10.21- V.M.A IRRF a Compensar"</f>
        <v>1.1.2.10.21- V.M.A IRRF a Compensar</v>
      </c>
      <c r="B61" s="10">
        <v>463.43</v>
      </c>
      <c r="C61" s="10">
        <v>8.3000000000000007</v>
      </c>
      <c r="D61" s="10">
        <v>471.73</v>
      </c>
    </row>
    <row r="62" spans="1:4" x14ac:dyDescent="0.25">
      <c r="A62" s="2" t="str">
        <f>"1.1.2.10.22- V.M.A COFINS a Compensar"</f>
        <v>1.1.2.10.22- V.M.A COFINS a Compensar</v>
      </c>
      <c r="B62" s="10">
        <v>5366.98</v>
      </c>
      <c r="C62" s="10">
        <v>19.2</v>
      </c>
      <c r="D62" s="10">
        <v>5386.18</v>
      </c>
    </row>
    <row r="63" spans="1:4" x14ac:dyDescent="0.25">
      <c r="A63" s="2" t="str">
        <f>"1.1.2.10.25- INSS a recuperar segurados"</f>
        <v>1.1.2.10.25- INSS a recuperar segurados</v>
      </c>
      <c r="B63" s="10">
        <v>108263.77</v>
      </c>
      <c r="C63" s="10">
        <v>0</v>
      </c>
      <c r="D63" s="10">
        <v>108263.77</v>
      </c>
    </row>
    <row r="64" spans="1:4" x14ac:dyDescent="0.25">
      <c r="A64" s="2" t="str">
        <f>"1.1.2.11.00- DESPESAS ANTECIPADAS"</f>
        <v>1.1.2.11.00- DESPESAS ANTECIPADAS</v>
      </c>
      <c r="B64" s="10">
        <v>9287.64</v>
      </c>
      <c r="C64" s="10">
        <v>-1159</v>
      </c>
      <c r="D64" s="10">
        <v>8128.64</v>
      </c>
    </row>
    <row r="65" spans="1:4" x14ac:dyDescent="0.25">
      <c r="A65" s="2" t="str">
        <f>"1.1.2.11.01- Premios de Seguros a Vencer"</f>
        <v>1.1.2.11.01- Premios de Seguros a Vencer</v>
      </c>
      <c r="B65" s="10">
        <v>9287.64</v>
      </c>
      <c r="C65" s="10">
        <v>-1159</v>
      </c>
      <c r="D65" s="10">
        <v>8128.64</v>
      </c>
    </row>
    <row r="66" spans="1:4" x14ac:dyDescent="0.25">
      <c r="A66" s="2" t="str">
        <f>"1.1.2.12.00- VALORES VINC.A RECEBER-PAMEH"</f>
        <v>1.1.2.12.00- VALORES VINC.A RECEBER-PAMEH</v>
      </c>
      <c r="B66" s="10">
        <v>733651.68</v>
      </c>
      <c r="C66" s="10">
        <v>-872.95</v>
      </c>
      <c r="D66" s="10">
        <v>732778.73</v>
      </c>
    </row>
    <row r="67" spans="1:4" x14ac:dyDescent="0.25">
      <c r="A67" s="2" t="str">
        <f>"1.1.2.12.01- Valores Vinculados-PAMEH"</f>
        <v>1.1.2.12.01- Valores Vinculados-PAMEH</v>
      </c>
      <c r="B67" s="10">
        <v>733651.68</v>
      </c>
      <c r="C67" s="10">
        <v>-872.95</v>
      </c>
      <c r="D67" s="10">
        <v>732778.73</v>
      </c>
    </row>
    <row r="68" spans="1:4" x14ac:dyDescent="0.25">
      <c r="A68" s="2" t="str">
        <f>"1.1.2.14.00- CONTAS TRANSITORIAS - GRUPO ATIVO"</f>
        <v>1.1.2.14.00- CONTAS TRANSITORIAS - GRUPO ATIVO</v>
      </c>
      <c r="B68" s="10">
        <v>567104</v>
      </c>
      <c r="C68" s="10">
        <v>-89583.98</v>
      </c>
      <c r="D68" s="10">
        <v>477520.02</v>
      </c>
    </row>
    <row r="69" spans="1:4" x14ac:dyDescent="0.25">
      <c r="A69" s="2" t="str">
        <f>"1.1.2.14.05- Transitoria Folha de Pagamento"</f>
        <v>1.1.2.14.05- Transitoria Folha de Pagamento</v>
      </c>
      <c r="B69" s="10">
        <v>567104</v>
      </c>
      <c r="C69" s="10">
        <v>-89583.98</v>
      </c>
      <c r="D69" s="10">
        <v>477520.02</v>
      </c>
    </row>
    <row r="70" spans="1:4" x14ac:dyDescent="0.25">
      <c r="A70" s="2" t="str">
        <f>"1.1.2.15.00- CARNE ESTACIONAMENTO ROTATIVO"</f>
        <v>1.1.2.15.00- CARNE ESTACIONAMENTO ROTATIVO</v>
      </c>
      <c r="B70" s="10">
        <v>19111.95</v>
      </c>
      <c r="C70" s="10">
        <v>3539.25</v>
      </c>
      <c r="D70" s="10">
        <v>22651.200000000001</v>
      </c>
    </row>
    <row r="71" spans="1:4" x14ac:dyDescent="0.25">
      <c r="A71" s="2" t="str">
        <f>"1.1.2.15.01- Carne Rotativo"</f>
        <v>1.1.2.15.01- Carne Rotativo</v>
      </c>
      <c r="B71" s="10">
        <v>19111.95</v>
      </c>
      <c r="C71" s="10">
        <v>3539.25</v>
      </c>
      <c r="D71" s="10">
        <v>22651.200000000001</v>
      </c>
    </row>
    <row r="72" spans="1:4" x14ac:dyDescent="0.25">
      <c r="A72" s="2" t="str">
        <f>"1.2.0.00.00- ATIVO NAO CIRCULANTE"</f>
        <v>1.2.0.00.00- ATIVO NAO CIRCULANTE</v>
      </c>
      <c r="B72" s="10">
        <v>12958417.23</v>
      </c>
      <c r="C72" s="10">
        <v>-140603.09</v>
      </c>
      <c r="D72" s="10">
        <v>12817814.140000001</v>
      </c>
    </row>
    <row r="73" spans="1:4" x14ac:dyDescent="0.25">
      <c r="A73" s="2" t="str">
        <f>"1.2.1.00.00- REALIZAVEL A LONGO PRAZO"</f>
        <v>1.2.1.00.00- REALIZAVEL A LONGO PRAZO</v>
      </c>
      <c r="B73" s="10">
        <v>10859457.789999999</v>
      </c>
      <c r="C73" s="10">
        <v>-110495.42</v>
      </c>
      <c r="D73" s="10">
        <v>10748962.369999999</v>
      </c>
    </row>
    <row r="74" spans="1:4" x14ac:dyDescent="0.25">
      <c r="A74" s="2" t="str">
        <f>"1.2.1.01.00- CREDITOS E VALORES A RECEBER"</f>
        <v>1.2.1.01.00- CREDITOS E VALORES A RECEBER</v>
      </c>
      <c r="B74" s="10">
        <v>10859457.789999999</v>
      </c>
      <c r="C74" s="10">
        <v>-110495.42</v>
      </c>
      <c r="D74" s="10">
        <v>10748962.369999999</v>
      </c>
    </row>
    <row r="75" spans="1:4" x14ac:dyDescent="0.25">
      <c r="A75" s="2" t="str">
        <f>"1.2.1.01.01- Depositos Judiciais"</f>
        <v>1.2.1.01.01- Depositos Judiciais</v>
      </c>
      <c r="B75" s="10">
        <v>5024192.54</v>
      </c>
      <c r="C75" s="10">
        <v>-158812.41</v>
      </c>
      <c r="D75" s="10">
        <v>4865380.13</v>
      </c>
    </row>
    <row r="76" spans="1:4" x14ac:dyDescent="0.25">
      <c r="A76" s="2" t="str">
        <f>"1.2.1.01.03- Depositos Judiciais de Terceiros"</f>
        <v>1.2.1.01.03- Depositos Judiciais de Terceiros</v>
      </c>
      <c r="B76" s="10">
        <v>357770.4</v>
      </c>
      <c r="C76" s="10">
        <v>48316.99</v>
      </c>
      <c r="D76" s="10">
        <v>406087.39</v>
      </c>
    </row>
    <row r="77" spans="1:4" x14ac:dyDescent="0.25">
      <c r="A77" s="2" t="str">
        <f>"1.2.1.01.04- Convenio Prefeitura Betim"</f>
        <v>1.2.1.01.04- Convenio Prefeitura Betim</v>
      </c>
      <c r="B77" s="10">
        <v>21463.9</v>
      </c>
      <c r="C77" s="10">
        <v>0</v>
      </c>
      <c r="D77" s="10">
        <v>21463.9</v>
      </c>
    </row>
    <row r="78" spans="1:4" x14ac:dyDescent="0.25">
      <c r="A78" s="2" t="str">
        <f>"1.2.1.01.05- Convenio IPSEMG"</f>
        <v>1.2.1.01.05- Convenio IPSEMG</v>
      </c>
      <c r="B78" s="10">
        <v>21163.53</v>
      </c>
      <c r="C78" s="10">
        <v>0</v>
      </c>
      <c r="D78" s="10">
        <v>21163.53</v>
      </c>
    </row>
    <row r="79" spans="1:4" x14ac:dyDescent="0.25">
      <c r="A79" s="2" t="str">
        <f>"1.2.1.01.06- Multas Transporte Coletivo"</f>
        <v>1.2.1.01.06- Multas Transporte Coletivo</v>
      </c>
      <c r="B79" s="10">
        <v>5434867.4199999999</v>
      </c>
      <c r="C79" s="10">
        <v>0</v>
      </c>
      <c r="D79" s="10">
        <v>5434867.4199999999</v>
      </c>
    </row>
    <row r="80" spans="1:4" x14ac:dyDescent="0.25">
      <c r="A80" s="2" t="str">
        <f>"1.3.1.00.00- INVESTIMENTOS"</f>
        <v>1.3.1.00.00- INVESTIMENTOS</v>
      </c>
      <c r="B80" s="10">
        <v>26070</v>
      </c>
      <c r="C80" s="10">
        <v>0</v>
      </c>
      <c r="D80" s="10">
        <v>26070</v>
      </c>
    </row>
    <row r="81" spans="1:4" x14ac:dyDescent="0.25">
      <c r="A81" s="2" t="str">
        <f>"1.3.1.01.00- OUTROS INVESTIMENTOS"</f>
        <v>1.3.1.01.00- OUTROS INVESTIMENTOS</v>
      </c>
      <c r="B81" s="10">
        <v>26070</v>
      </c>
      <c r="C81" s="10">
        <v>0</v>
      </c>
      <c r="D81" s="10">
        <v>26070</v>
      </c>
    </row>
    <row r="82" spans="1:4" x14ac:dyDescent="0.25">
      <c r="A82" s="2" t="str">
        <f>"1.3.1.01.01- Obras de Arte"</f>
        <v>1.3.1.01.01- Obras de Arte</v>
      </c>
      <c r="B82" s="10">
        <v>25200</v>
      </c>
      <c r="C82" s="10">
        <v>0</v>
      </c>
      <c r="D82" s="10">
        <v>25200</v>
      </c>
    </row>
    <row r="83" spans="1:4" x14ac:dyDescent="0.25">
      <c r="A83" s="2" t="str">
        <f>"1.3.1.01.02- Participações Societárias - PBH ATIVOS"</f>
        <v>1.3.1.01.02- Participações Societárias - PBH ATIVOS</v>
      </c>
      <c r="B83" s="10">
        <v>870</v>
      </c>
      <c r="C83" s="10">
        <v>0</v>
      </c>
      <c r="D83" s="10">
        <v>870</v>
      </c>
    </row>
    <row r="84" spans="1:4" x14ac:dyDescent="0.25">
      <c r="A84" s="2" t="str">
        <f>"1.3.2.00.00- IMOBILIZADO"</f>
        <v>1.3.2.00.00- IMOBILIZADO</v>
      </c>
      <c r="B84" s="10">
        <v>6848940.4500000002</v>
      </c>
      <c r="C84" s="10">
        <v>845213.44</v>
      </c>
      <c r="D84" s="10">
        <v>7694153.8899999997</v>
      </c>
    </row>
    <row r="85" spans="1:4" x14ac:dyDescent="0.25">
      <c r="A85" s="2" t="str">
        <f>"1.3.2.01.01- Maquinas e equipamentos"</f>
        <v>1.3.2.01.01- Maquinas e equipamentos</v>
      </c>
      <c r="B85" s="10">
        <v>242005.46</v>
      </c>
      <c r="C85" s="10">
        <v>-2670</v>
      </c>
      <c r="D85" s="10">
        <v>239335.46</v>
      </c>
    </row>
    <row r="86" spans="1:4" x14ac:dyDescent="0.25">
      <c r="A86" s="2" t="str">
        <f>"1.3.2.02.01- Ferramentas"</f>
        <v>1.3.2.02.01- Ferramentas</v>
      </c>
      <c r="B86" s="10">
        <v>9104.81</v>
      </c>
      <c r="C86" s="10">
        <v>0</v>
      </c>
      <c r="D86" s="10">
        <v>9104.81</v>
      </c>
    </row>
    <row r="87" spans="1:4" x14ac:dyDescent="0.25">
      <c r="A87" s="2" t="str">
        <f>"1.3.2.03.01- Equipamentos de comunicacao"</f>
        <v>1.3.2.03.01- Equipamentos de comunicacao</v>
      </c>
      <c r="B87" s="10">
        <v>172167.01</v>
      </c>
      <c r="C87" s="10">
        <v>0</v>
      </c>
      <c r="D87" s="10">
        <v>172167.01</v>
      </c>
    </row>
    <row r="88" spans="1:4" x14ac:dyDescent="0.25">
      <c r="A88" s="2" t="str">
        <f>"1.3.2.04.01- Instalacoes"</f>
        <v>1.3.2.04.01- Instalacoes</v>
      </c>
      <c r="B88" s="10">
        <v>85222.9</v>
      </c>
      <c r="C88" s="10">
        <v>0</v>
      </c>
      <c r="D88" s="10">
        <v>85222.9</v>
      </c>
    </row>
    <row r="89" spans="1:4" x14ac:dyDescent="0.25">
      <c r="A89" s="2" t="str">
        <f>"1.3.2.06.01- Moveis e utensilios"</f>
        <v>1.3.2.06.01- Moveis e utensilios</v>
      </c>
      <c r="B89" s="10">
        <v>536596.49</v>
      </c>
      <c r="C89" s="10">
        <v>-694.05</v>
      </c>
      <c r="D89" s="10">
        <v>535902.43999999994</v>
      </c>
    </row>
    <row r="90" spans="1:4" x14ac:dyDescent="0.25">
      <c r="A90" s="2" t="str">
        <f>"1.3.2.08.01- Instalacoes administrativas"</f>
        <v>1.3.2.08.01- Instalacoes administrativas</v>
      </c>
      <c r="B90" s="10">
        <v>99146.34</v>
      </c>
      <c r="C90" s="10">
        <v>0</v>
      </c>
      <c r="D90" s="10">
        <v>99146.34</v>
      </c>
    </row>
    <row r="91" spans="1:4" x14ac:dyDescent="0.25">
      <c r="A91" s="2" t="str">
        <f>"1.3.2.09.01- Aparelhos/equipamentos diversos"</f>
        <v>1.3.2.09.01- Aparelhos/equipamentos diversos</v>
      </c>
      <c r="B91" s="10">
        <v>600752.32999999996</v>
      </c>
      <c r="C91" s="10">
        <v>-5640.06</v>
      </c>
      <c r="D91" s="10">
        <v>595112.27</v>
      </c>
    </row>
    <row r="92" spans="1:4" x14ac:dyDescent="0.25">
      <c r="A92" s="2" t="str">
        <f>"1.3.2.10.01- Equip. p/ processamento de dados"</f>
        <v>1.3.2.10.01- Equip. p/ processamento de dados</v>
      </c>
      <c r="B92" s="10">
        <v>696029.05</v>
      </c>
      <c r="C92" s="10">
        <v>854217.55</v>
      </c>
      <c r="D92" s="10">
        <v>1550246.6</v>
      </c>
    </row>
    <row r="93" spans="1:4" x14ac:dyDescent="0.25">
      <c r="A93" s="2" t="str">
        <f>"1.3.2.12.01- Micros/impressoras e acessorios"</f>
        <v>1.3.2.12.01- Micros/impressoras e acessorios</v>
      </c>
      <c r="B93" s="10">
        <v>2690531.68</v>
      </c>
      <c r="C93" s="10">
        <v>0</v>
      </c>
      <c r="D93" s="10">
        <v>2690531.68</v>
      </c>
    </row>
    <row r="94" spans="1:4" x14ac:dyDescent="0.25">
      <c r="A94" s="2" t="str">
        <f>"1.3.2.13.01- Imobilizacao em imoveis de terceiros"</f>
        <v>1.3.2.13.01- Imobilizacao em imoveis de terceiros</v>
      </c>
      <c r="B94" s="10">
        <v>1673924.44</v>
      </c>
      <c r="C94" s="10">
        <v>-1162384.46</v>
      </c>
      <c r="D94" s="10">
        <v>511539.98</v>
      </c>
    </row>
    <row r="95" spans="1:4" x14ac:dyDescent="0.25">
      <c r="A95" s="2" t="str">
        <f>"1.3.2.14.01- Estacao Diamante"</f>
        <v>1.3.2.14.01- Estacao Diamante</v>
      </c>
      <c r="B95" s="10">
        <v>0</v>
      </c>
      <c r="C95" s="10">
        <v>1162384.46</v>
      </c>
      <c r="D95" s="10">
        <v>1162384.46</v>
      </c>
    </row>
    <row r="96" spans="1:4" x14ac:dyDescent="0.25">
      <c r="A96" s="2" t="str">
        <f>"1.3.2.14.02- Estacao pampulha"</f>
        <v>1.3.2.14.02- Estacao pampulha</v>
      </c>
      <c r="B96" s="10">
        <v>43459.94</v>
      </c>
      <c r="C96" s="10">
        <v>-43459.94</v>
      </c>
      <c r="D96" s="10">
        <v>0</v>
      </c>
    </row>
    <row r="97" spans="1:4" x14ac:dyDescent="0.25">
      <c r="A97" s="2" t="str">
        <f>"1.3.2.15.00- IMOBILIZACOES EM ANDAMENTO"</f>
        <v>1.3.2.15.00- IMOBILIZACOES EM ANDAMENTO</v>
      </c>
      <c r="B97" s="10">
        <v>0</v>
      </c>
      <c r="C97" s="10">
        <v>43459.94</v>
      </c>
      <c r="D97" s="10">
        <v>43459.94</v>
      </c>
    </row>
    <row r="98" spans="1:4" x14ac:dyDescent="0.25">
      <c r="A98" s="2" t="str">
        <f>"1.3.2.15.01- Construcoes em Andamento"</f>
        <v>1.3.2.15.01- Construcoes em Andamento</v>
      </c>
      <c r="B98" s="10">
        <v>0</v>
      </c>
      <c r="C98" s="10">
        <v>43459.94</v>
      </c>
      <c r="D98" s="10">
        <v>43459.94</v>
      </c>
    </row>
    <row r="99" spans="1:4" x14ac:dyDescent="0.25">
      <c r="A99" s="2" t="str">
        <f>"1.3.3.00.00- INTANGIVEL"</f>
        <v>1.3.3.00.00- INTANGIVEL</v>
      </c>
      <c r="B99" s="10">
        <v>891461.55</v>
      </c>
      <c r="C99" s="10">
        <v>-853903.55</v>
      </c>
      <c r="D99" s="10">
        <v>37558</v>
      </c>
    </row>
    <row r="100" spans="1:4" x14ac:dyDescent="0.25">
      <c r="A100" s="2" t="str">
        <f>"1.3.3.03.00- MARCAS E PATENTES"</f>
        <v>1.3.3.03.00- MARCAS E PATENTES</v>
      </c>
      <c r="B100" s="10">
        <v>1106</v>
      </c>
      <c r="C100" s="10">
        <v>-1106</v>
      </c>
      <c r="D100" s="10">
        <v>0</v>
      </c>
    </row>
    <row r="101" spans="1:4" x14ac:dyDescent="0.25">
      <c r="A101" s="2" t="str">
        <f>"1.3.3.03.01- Marcas e Patentes"</f>
        <v>1.3.3.03.01- Marcas e Patentes</v>
      </c>
      <c r="B101" s="10">
        <v>1106</v>
      </c>
      <c r="C101" s="10">
        <v>-1106</v>
      </c>
      <c r="D101" s="10">
        <v>0</v>
      </c>
    </row>
    <row r="102" spans="1:4" x14ac:dyDescent="0.25">
      <c r="A102" s="2" t="str">
        <f>"1.3.3.04.01- Programas e Sistemas"</f>
        <v>1.3.3.04.01- Programas e Sistemas</v>
      </c>
      <c r="B102" s="10">
        <v>890355.55</v>
      </c>
      <c r="C102" s="10">
        <v>-852797.55</v>
      </c>
      <c r="D102" s="10">
        <v>37558</v>
      </c>
    </row>
    <row r="103" spans="1:4" x14ac:dyDescent="0.25">
      <c r="A103" s="2" t="str">
        <f>"1.3.5.00.00- ( - )DEPRECIACAO E AMORTIZACAO"</f>
        <v>1.3.5.00.00- ( - )DEPRECIACAO E AMORTIZACAO</v>
      </c>
      <c r="B103" s="10">
        <v>-5667512.5599999996</v>
      </c>
      <c r="C103" s="10">
        <v>-21417.56</v>
      </c>
      <c r="D103" s="10">
        <v>-5688930.1200000001</v>
      </c>
    </row>
    <row r="104" spans="1:4" x14ac:dyDescent="0.25">
      <c r="A104" s="2" t="str">
        <f>"1.3.5.01.00- ( - ) DEPRECIACAO E AMORTIZACAO"</f>
        <v>1.3.5.01.00- ( - ) DEPRECIACAO E AMORTIZACAO</v>
      </c>
      <c r="B104" s="10">
        <v>-5667512.5599999996</v>
      </c>
      <c r="C104" s="10">
        <v>-21417.56</v>
      </c>
      <c r="D104" s="10">
        <v>-5688930.1200000001</v>
      </c>
    </row>
    <row r="105" spans="1:4" x14ac:dyDescent="0.25">
      <c r="A105" s="2" t="str">
        <f>"1.3.5.01.01- ( - ) Moveis e Utensilios"</f>
        <v>1.3.5.01.01- ( - ) Moveis e Utensilios</v>
      </c>
      <c r="B105" s="10">
        <v>-440012.52</v>
      </c>
      <c r="C105" s="10">
        <v>-1871.22</v>
      </c>
      <c r="D105" s="10">
        <v>-441883.74</v>
      </c>
    </row>
    <row r="106" spans="1:4" x14ac:dyDescent="0.25">
      <c r="A106" s="2" t="str">
        <f>"1.3.5.01.02- ( - ) Aparelhos/Equipamentos Diversos"</f>
        <v>1.3.5.01.02- ( - ) Aparelhos/Equipamentos Diversos</v>
      </c>
      <c r="B106" s="10">
        <v>-359469.28</v>
      </c>
      <c r="C106" s="10">
        <v>-3730.13</v>
      </c>
      <c r="D106" s="10">
        <v>-363199.41</v>
      </c>
    </row>
    <row r="107" spans="1:4" x14ac:dyDescent="0.25">
      <c r="A107" s="2" t="str">
        <f>"1.3.5.01.03- ( - ) Instalacoes Administrativas"</f>
        <v>1.3.5.01.03- ( - ) Instalacoes Administrativas</v>
      </c>
      <c r="B107" s="10">
        <v>-98946.07</v>
      </c>
      <c r="C107" s="10">
        <v>-71.22</v>
      </c>
      <c r="D107" s="10">
        <v>-99017.29</v>
      </c>
    </row>
    <row r="108" spans="1:4" x14ac:dyDescent="0.25">
      <c r="A108" s="2" t="str">
        <f>"1.3.5.01.05- ( - ) Impressoras e Micros"</f>
        <v>1.3.5.01.05- ( - ) Impressoras e Micros</v>
      </c>
      <c r="B108" s="10">
        <v>-2637038.12</v>
      </c>
      <c r="C108" s="10">
        <v>-617946.03</v>
      </c>
      <c r="D108" s="10">
        <v>-3254984.15</v>
      </c>
    </row>
    <row r="109" spans="1:4" x14ac:dyDescent="0.25">
      <c r="A109" s="2" t="str">
        <f>"1.3.5.01.06- ( - ) Maquinas e Equipamentos"</f>
        <v>1.3.5.01.06- ( - ) Maquinas e Equipamentos</v>
      </c>
      <c r="B109" s="10">
        <v>-154649.51</v>
      </c>
      <c r="C109" s="10">
        <v>-1283.4000000000001</v>
      </c>
      <c r="D109" s="10">
        <v>-155932.91</v>
      </c>
    </row>
    <row r="110" spans="1:4" x14ac:dyDescent="0.25">
      <c r="A110" s="2" t="str">
        <f>"1.3.5.01.07- ( - ) Equipamentos de Comunicacao"</f>
        <v>1.3.5.01.07- ( - ) Equipamentos de Comunicacao</v>
      </c>
      <c r="B110" s="10">
        <v>-171894.11</v>
      </c>
      <c r="C110" s="10">
        <v>-78.02</v>
      </c>
      <c r="D110" s="10">
        <v>-171972.13</v>
      </c>
    </row>
    <row r="111" spans="1:4" x14ac:dyDescent="0.25">
      <c r="A111" s="2" t="str">
        <f>"1.3.5.01.08- ( - ) Instalacoes Operacionais"</f>
        <v>1.3.5.01.08- ( - ) Instalacoes Operacionais</v>
      </c>
      <c r="B111" s="10">
        <v>-66143.31</v>
      </c>
      <c r="C111" s="10">
        <v>-272.37</v>
      </c>
      <c r="D111" s="10">
        <v>-66415.679999999993</v>
      </c>
    </row>
    <row r="112" spans="1:4" x14ac:dyDescent="0.25">
      <c r="A112" s="2" t="str">
        <f>"1.3.5.01.09- ( - ) Programas (Softwares)"</f>
        <v>1.3.5.01.09- ( - ) Programas (Softwares)</v>
      </c>
      <c r="B112" s="10">
        <v>-638209.63</v>
      </c>
      <c r="C112" s="10">
        <v>609467.43999999994</v>
      </c>
      <c r="D112" s="10">
        <v>-28742.19</v>
      </c>
    </row>
    <row r="113" spans="1:4" x14ac:dyDescent="0.25">
      <c r="A113" s="2" t="str">
        <f>"1.3.5.01.14- ( - ) Ferramentas"</f>
        <v>1.3.5.01.14- ( - ) Ferramentas</v>
      </c>
      <c r="B113" s="10">
        <v>-7093.27</v>
      </c>
      <c r="C113" s="10">
        <v>-52.86</v>
      </c>
      <c r="D113" s="10">
        <v>-7146.13</v>
      </c>
    </row>
    <row r="114" spans="1:4" x14ac:dyDescent="0.25">
      <c r="A114" s="2" t="str">
        <f>"1.3.5.01.15- ( - ) Imobilizacoes em Imov. Terceiros"</f>
        <v>1.3.5.01.15- ( - ) Imobilizacoes em Imov. Terceiros</v>
      </c>
      <c r="B114" s="10">
        <v>-1094056.74</v>
      </c>
      <c r="C114" s="10">
        <v>-5579.75</v>
      </c>
      <c r="D114" s="10">
        <v>-1099636.49</v>
      </c>
    </row>
    <row r="115" spans="1:4" x14ac:dyDescent="0.25">
      <c r="A115" s="2" t="str">
        <f>""</f>
        <v/>
      </c>
      <c r="B115" s="3" t="str">
        <f>""</f>
        <v/>
      </c>
      <c r="C115" s="3" t="str">
        <f>""</f>
        <v/>
      </c>
      <c r="D115" s="3" t="str">
        <f>""</f>
        <v/>
      </c>
    </row>
    <row r="116" spans="1:4" x14ac:dyDescent="0.25">
      <c r="A116" s="2" t="str">
        <f>"PASSIVO"</f>
        <v>PASSIVO</v>
      </c>
      <c r="B116" s="3" t="str">
        <f>""</f>
        <v/>
      </c>
      <c r="C116" s="3" t="str">
        <f>""</f>
        <v/>
      </c>
      <c r="D116" s="3" t="str">
        <f>""</f>
        <v/>
      </c>
    </row>
    <row r="117" spans="1:4" x14ac:dyDescent="0.25">
      <c r="A117" s="2" t="str">
        <f>"2.0.0.00.00- PASSIVO"</f>
        <v>2.0.0.00.00- PASSIVO</v>
      </c>
      <c r="B117" s="10">
        <v>47571096.799999997</v>
      </c>
      <c r="C117" s="10">
        <v>1617921.85</v>
      </c>
      <c r="D117" s="10">
        <v>49189018.649999999</v>
      </c>
    </row>
    <row r="118" spans="1:4" x14ac:dyDescent="0.25">
      <c r="A118" s="2" t="str">
        <f>"2.1.0.00.00- PASSIVO CIRCULANTE"</f>
        <v>2.1.0.00.00- PASSIVO CIRCULANTE</v>
      </c>
      <c r="B118" s="10">
        <v>72431868.329999998</v>
      </c>
      <c r="C118" s="10">
        <v>1700239.19</v>
      </c>
      <c r="D118" s="10">
        <v>74132107.519999996</v>
      </c>
    </row>
    <row r="119" spans="1:4" x14ac:dyDescent="0.25">
      <c r="A119" s="2" t="str">
        <f>"2.1.1.00.00- OBRIGACOES COM PESSOAL"</f>
        <v>2.1.1.00.00- OBRIGACOES COM PESSOAL</v>
      </c>
      <c r="B119" s="10">
        <v>23130291.640000001</v>
      </c>
      <c r="C119" s="10">
        <v>21372.11</v>
      </c>
      <c r="D119" s="10">
        <v>23151663.75</v>
      </c>
    </row>
    <row r="120" spans="1:4" x14ac:dyDescent="0.25">
      <c r="A120" s="2" t="str">
        <f>"2.1.1.01.00- SALARIOS A PAGAR"</f>
        <v>2.1.1.01.00- SALARIOS A PAGAR</v>
      </c>
      <c r="B120" s="10">
        <v>23130291.640000001</v>
      </c>
      <c r="C120" s="10">
        <v>21372.11</v>
      </c>
      <c r="D120" s="10">
        <v>23151663.75</v>
      </c>
    </row>
    <row r="121" spans="1:4" x14ac:dyDescent="0.25">
      <c r="A121" s="2" t="str">
        <f>"2.1.1.01.01- Salarios a Pagar"</f>
        <v>2.1.1.01.01- Salarios a Pagar</v>
      </c>
      <c r="B121" s="10">
        <v>4850947.6399999997</v>
      </c>
      <c r="C121" s="10">
        <v>147465.81</v>
      </c>
      <c r="D121" s="10">
        <v>4998413.45</v>
      </c>
    </row>
    <row r="122" spans="1:4" x14ac:dyDescent="0.25">
      <c r="A122" s="2" t="str">
        <f>"2.1.1.01.02- Provisão 13º Salário"</f>
        <v>2.1.1.01.02- Provisão 13º Salário</v>
      </c>
      <c r="B122" s="10">
        <v>4433956.47</v>
      </c>
      <c r="C122" s="10">
        <v>448181.45</v>
      </c>
      <c r="D122" s="10">
        <v>4882137.92</v>
      </c>
    </row>
    <row r="123" spans="1:4" x14ac:dyDescent="0.25">
      <c r="A123" s="2" t="str">
        <f>"2.1.1.01.03- Ferias a pagar"</f>
        <v>2.1.1.01.03- Ferias a pagar</v>
      </c>
      <c r="B123" s="10">
        <v>3384.01</v>
      </c>
      <c r="C123" s="10">
        <v>107299.23</v>
      </c>
      <c r="D123" s="10">
        <v>110683.24</v>
      </c>
    </row>
    <row r="124" spans="1:4" x14ac:dyDescent="0.25">
      <c r="A124" s="2" t="str">
        <f>"2.1.1.01.05- Rescisoes a Pagar"</f>
        <v>2.1.1.01.05- Rescisoes a Pagar</v>
      </c>
      <c r="B124" s="10">
        <v>684.45</v>
      </c>
      <c r="C124" s="10">
        <v>-390.45</v>
      </c>
      <c r="D124" s="10">
        <v>294</v>
      </c>
    </row>
    <row r="125" spans="1:4" x14ac:dyDescent="0.25">
      <c r="A125" s="2" t="str">
        <f>"2.1.1.01.09- Provisao de Ferias"</f>
        <v>2.1.1.01.09- Provisao de Ferias</v>
      </c>
      <c r="B125" s="10">
        <v>7010627.1200000001</v>
      </c>
      <c r="C125" s="10">
        <v>279727.7</v>
      </c>
      <c r="D125" s="10">
        <v>7290354.8200000003</v>
      </c>
    </row>
    <row r="126" spans="1:4" x14ac:dyDescent="0.25">
      <c r="A126" s="2" t="str">
        <f>"2.1.1.01.11- Indenizações trabalhistas - ACT"</f>
        <v>2.1.1.01.11- Indenizações trabalhistas - ACT</v>
      </c>
      <c r="B126" s="10">
        <v>6830691.9500000002</v>
      </c>
      <c r="C126" s="10">
        <v>-960911.63</v>
      </c>
      <c r="D126" s="10">
        <v>5869780.3200000003</v>
      </c>
    </row>
    <row r="127" spans="1:4" x14ac:dyDescent="0.25">
      <c r="A127" s="2" t="str">
        <f>"2.1.2.00.00- OBRIGACOES SOCIAIS A CURTO PRAZO"</f>
        <v>2.1.2.00.00- OBRIGACOES SOCIAIS A CURTO PRAZO</v>
      </c>
      <c r="B127" s="10">
        <v>7640188.6299999999</v>
      </c>
      <c r="C127" s="10">
        <v>505954.16</v>
      </c>
      <c r="D127" s="10">
        <v>8146142.79</v>
      </c>
    </row>
    <row r="128" spans="1:4" x14ac:dyDescent="0.25">
      <c r="A128" s="2" t="str">
        <f>"2.1.2.01.00- OBRIGACOES SOCIAIS A RECOLHER"</f>
        <v>2.1.2.01.00- OBRIGACOES SOCIAIS A RECOLHER</v>
      </c>
      <c r="B128" s="10">
        <v>7640188.6299999999</v>
      </c>
      <c r="C128" s="10">
        <v>505954.16</v>
      </c>
      <c r="D128" s="10">
        <v>8146142.79</v>
      </c>
    </row>
    <row r="129" spans="1:4" x14ac:dyDescent="0.25">
      <c r="A129" s="2" t="str">
        <f>"2.1.2.01.01- INSS a recolher s/Folha Pagto"</f>
        <v>2.1.2.01.01- INSS a recolher s/Folha Pagto</v>
      </c>
      <c r="B129" s="10">
        <v>2390030.39</v>
      </c>
      <c r="C129" s="10">
        <v>5947.05</v>
      </c>
      <c r="D129" s="10">
        <v>2395977.44</v>
      </c>
    </row>
    <row r="130" spans="1:4" x14ac:dyDescent="0.25">
      <c r="A130" s="2" t="str">
        <f>"2.1.2.01.02- FGTS a recolher s/Folha Pagto"</f>
        <v>2.1.2.01.02- FGTS a recolher s/Folha Pagto</v>
      </c>
      <c r="B130" s="10">
        <v>533203.64</v>
      </c>
      <c r="C130" s="10">
        <v>10832.86</v>
      </c>
      <c r="D130" s="10">
        <v>544036.5</v>
      </c>
    </row>
    <row r="131" spans="1:4" x14ac:dyDescent="0.25">
      <c r="A131" s="2" t="str">
        <f>"2.1.2.01.05- Contribuicao Sindical"</f>
        <v>2.1.2.01.05- Contribuicao Sindical</v>
      </c>
      <c r="B131" s="10">
        <v>8038.49</v>
      </c>
      <c r="C131" s="10">
        <v>8214.4699999999993</v>
      </c>
      <c r="D131" s="10">
        <v>16252.96</v>
      </c>
    </row>
    <row r="132" spans="1:4" x14ac:dyDescent="0.25">
      <c r="A132" s="2" t="str">
        <f>"2.1.2.01.06- INSS s/Provisao de Ferias"</f>
        <v>2.1.2.01.06- INSS s/Provisao de Ferias</v>
      </c>
      <c r="B132" s="10">
        <v>2040097.43</v>
      </c>
      <c r="C132" s="10">
        <v>79881.63</v>
      </c>
      <c r="D132" s="10">
        <v>2119979.06</v>
      </c>
    </row>
    <row r="133" spans="1:4" x14ac:dyDescent="0.25">
      <c r="A133" s="2" t="str">
        <f>"2.1.2.01.07- AEB - Assoc. Empreg. BHTRANS"</f>
        <v>2.1.2.01.07- AEB - Assoc. Empreg. BHTRANS</v>
      </c>
      <c r="B133" s="10">
        <v>4807.12</v>
      </c>
      <c r="C133" s="10">
        <v>-21.67</v>
      </c>
      <c r="D133" s="10">
        <v>4785.45</v>
      </c>
    </row>
    <row r="134" spans="1:4" x14ac:dyDescent="0.25">
      <c r="A134" s="2" t="str">
        <f>"2.1.2.01.09- INSS a Recolher s/Autonomos"</f>
        <v>2.1.2.01.09- INSS a Recolher s/Autonomos</v>
      </c>
      <c r="B134" s="10">
        <v>1670.64</v>
      </c>
      <c r="C134" s="10">
        <v>-1670.64</v>
      </c>
      <c r="D134" s="10">
        <v>0</v>
      </c>
    </row>
    <row r="135" spans="1:4" x14ac:dyDescent="0.25">
      <c r="A135" s="2" t="str">
        <f>"2.1.2.01.10- INSS s/Provisao de 13.Salario"</f>
        <v>2.1.2.01.10- INSS s/Provisao de 13.Salario</v>
      </c>
      <c r="B135" s="10">
        <v>1293066.28</v>
      </c>
      <c r="C135" s="10">
        <v>130782.59</v>
      </c>
      <c r="D135" s="10">
        <v>1423848.87</v>
      </c>
    </row>
    <row r="136" spans="1:4" x14ac:dyDescent="0.25">
      <c r="A136" s="2" t="str">
        <f>"2.1.2.01.11- FGTS s/Provisao de 13.Salario"</f>
        <v>2.1.2.01.11- FGTS s/Provisao de 13.Salario</v>
      </c>
      <c r="B136" s="10">
        <v>171158.77</v>
      </c>
      <c r="C136" s="10">
        <v>18973.599999999999</v>
      </c>
      <c r="D136" s="10">
        <v>190132.37</v>
      </c>
    </row>
    <row r="137" spans="1:4" x14ac:dyDescent="0.25">
      <c r="A137" s="2" t="str">
        <f>"2.1.2.01.12- FGTS s/Provisao de Ferias"</f>
        <v>2.1.2.01.12- FGTS s/Provisao de Ferias</v>
      </c>
      <c r="B137" s="10">
        <v>559868.54</v>
      </c>
      <c r="C137" s="10">
        <v>22244.41</v>
      </c>
      <c r="D137" s="10">
        <v>582112.94999999995</v>
      </c>
    </row>
    <row r="138" spans="1:4" x14ac:dyDescent="0.25">
      <c r="A138" s="2" t="str">
        <f>"2.1.2.01.13- Contribuicao ao PAMEH"</f>
        <v>2.1.2.01.13- Contribuicao ao PAMEH</v>
      </c>
      <c r="B138" s="10">
        <v>457857.6</v>
      </c>
      <c r="C138" s="10">
        <v>-1414.84</v>
      </c>
      <c r="D138" s="10">
        <v>456442.76</v>
      </c>
    </row>
    <row r="139" spans="1:4" x14ac:dyDescent="0.25">
      <c r="A139" s="2" t="str">
        <f>"2.1.2.01.15- Crediserv-BH"</f>
        <v>2.1.2.01.15- Crediserv-BH</v>
      </c>
      <c r="B139" s="10">
        <v>18016.84</v>
      </c>
      <c r="C139" s="10">
        <v>1632.71</v>
      </c>
      <c r="D139" s="10">
        <v>19649.55</v>
      </c>
    </row>
    <row r="140" spans="1:4" x14ac:dyDescent="0.25">
      <c r="A140" s="2" t="str">
        <f>"2.1.2.01.16- INSS Fonte a Recolher - PJ"</f>
        <v>2.1.2.01.16- INSS Fonte a Recolher - PJ</v>
      </c>
      <c r="B140" s="10">
        <v>161062.70000000001</v>
      </c>
      <c r="C140" s="10">
        <v>229640.72</v>
      </c>
      <c r="D140" s="10">
        <v>390703.42</v>
      </c>
    </row>
    <row r="141" spans="1:4" x14ac:dyDescent="0.25">
      <c r="A141" s="2" t="str">
        <f>"2.1.2.01.18- INSS Fonte a Recolher - P F"</f>
        <v>2.1.2.01.18- INSS Fonte a Recolher - P F</v>
      </c>
      <c r="B141" s="10">
        <v>770.19</v>
      </c>
      <c r="C141" s="10">
        <v>911.27</v>
      </c>
      <c r="D141" s="10">
        <v>1681.46</v>
      </c>
    </row>
    <row r="142" spans="1:4" x14ac:dyDescent="0.25">
      <c r="A142" s="2" t="str">
        <f>"2.1.2.01.19- ASFIM - PBH"</f>
        <v>2.1.2.01.19- ASFIM - PBH</v>
      </c>
      <c r="B142" s="10">
        <v>540</v>
      </c>
      <c r="C142" s="10">
        <v>0</v>
      </c>
      <c r="D142" s="10">
        <v>540</v>
      </c>
    </row>
    <row r="143" spans="1:4" x14ac:dyDescent="0.25">
      <c r="A143" s="2" t="str">
        <f>"2.1.3.00.00- OBRIGACOES FISCAIS A CURTO PRAZO"</f>
        <v>2.1.3.00.00- OBRIGACOES FISCAIS A CURTO PRAZO</v>
      </c>
      <c r="B143" s="10">
        <v>1736380.63</v>
      </c>
      <c r="C143" s="10">
        <v>-18303.990000000002</v>
      </c>
      <c r="D143" s="10">
        <v>1718076.64</v>
      </c>
    </row>
    <row r="144" spans="1:4" x14ac:dyDescent="0.25">
      <c r="A144" s="2" t="str">
        <f>"2.1.3.01.00- IMPOSTOS E TAXAS A RECOLHER"</f>
        <v>2.1.3.01.00- IMPOSTOS E TAXAS A RECOLHER</v>
      </c>
      <c r="B144" s="10">
        <v>1736380.63</v>
      </c>
      <c r="C144" s="10">
        <v>-18303.990000000002</v>
      </c>
      <c r="D144" s="10">
        <v>1718076.64</v>
      </c>
    </row>
    <row r="145" spans="1:4" x14ac:dyDescent="0.25">
      <c r="A145" s="2" t="str">
        <f>"2.1.3.01.01- IRRF Fonte Folha Pagto"</f>
        <v>2.1.3.01.01- IRRF Fonte Folha Pagto</v>
      </c>
      <c r="B145" s="10">
        <v>747130.09</v>
      </c>
      <c r="C145" s="10">
        <v>-26966.43</v>
      </c>
      <c r="D145" s="10">
        <v>720163.66</v>
      </c>
    </row>
    <row r="146" spans="1:4" x14ac:dyDescent="0.25">
      <c r="A146" s="2" t="str">
        <f>"2.1.3.01.03- IRRF Fonte - Pessoa  Juridica e Física"</f>
        <v>2.1.3.01.03- IRRF Fonte - Pessoa  Juridica e Física</v>
      </c>
      <c r="B146" s="10">
        <v>16824.79</v>
      </c>
      <c r="C146" s="10">
        <v>21185.26</v>
      </c>
      <c r="D146" s="10">
        <v>38010.050000000003</v>
      </c>
    </row>
    <row r="147" spans="1:4" x14ac:dyDescent="0.25">
      <c r="A147" s="2" t="str">
        <f>"2.1.3.01.04- ISS Retido Fonte PF"</f>
        <v>2.1.3.01.04- ISS Retido Fonte PF</v>
      </c>
      <c r="B147" s="10">
        <v>0</v>
      </c>
      <c r="C147" s="10">
        <v>405</v>
      </c>
      <c r="D147" s="10">
        <v>405</v>
      </c>
    </row>
    <row r="148" spans="1:4" x14ac:dyDescent="0.25">
      <c r="A148" s="2" t="str">
        <f>"2.1.3.01.05- ISS S/ Faturamento"</f>
        <v>2.1.3.01.05- ISS S/ Faturamento</v>
      </c>
      <c r="B148" s="10">
        <v>2549</v>
      </c>
      <c r="C148" s="10">
        <v>-3.76</v>
      </c>
      <c r="D148" s="10">
        <v>2545.2399999999998</v>
      </c>
    </row>
    <row r="149" spans="1:4" x14ac:dyDescent="0.25">
      <c r="A149" s="2" t="str">
        <f>"2.1.3.01.07- COFINS a Recolher"</f>
        <v>2.1.3.01.07- COFINS a Recolher</v>
      </c>
      <c r="B149" s="10">
        <v>718835.24</v>
      </c>
      <c r="C149" s="10">
        <v>-88382.68</v>
      </c>
      <c r="D149" s="10">
        <v>630452.56000000006</v>
      </c>
    </row>
    <row r="150" spans="1:4" x14ac:dyDescent="0.25">
      <c r="A150" s="2" t="str">
        <f>"2.1.3.01.08- PIS a Recolher"</f>
        <v>2.1.3.01.08- PIS a Recolher</v>
      </c>
      <c r="B150" s="10">
        <v>155604.57</v>
      </c>
      <c r="C150" s="10">
        <v>-19017.759999999998</v>
      </c>
      <c r="D150" s="10">
        <v>136586.81</v>
      </c>
    </row>
    <row r="151" spans="1:4" x14ac:dyDescent="0.25">
      <c r="A151" s="2" t="str">
        <f>"2.1.3.01.09- ISS Fonte a Recolher P.Juridica"</f>
        <v>2.1.3.01.09- ISS Fonte a Recolher P.Juridica</v>
      </c>
      <c r="B151" s="10">
        <v>8714.1</v>
      </c>
      <c r="C151" s="10">
        <v>-3325.39</v>
      </c>
      <c r="D151" s="10">
        <v>5388.71</v>
      </c>
    </row>
    <row r="152" spans="1:4" x14ac:dyDescent="0.25">
      <c r="A152" s="2" t="str">
        <f>"2.1.3.01.12- CSLL-COFINS-PIS - FONTE"</f>
        <v>2.1.3.01.12- CSLL-COFINS-PIS - FONTE</v>
      </c>
      <c r="B152" s="10">
        <v>86722.84</v>
      </c>
      <c r="C152" s="10">
        <v>97801.77</v>
      </c>
      <c r="D152" s="10">
        <v>184524.61</v>
      </c>
    </row>
    <row r="153" spans="1:4" x14ac:dyDescent="0.25">
      <c r="A153" s="2" t="str">
        <f>"2.1.4.00.00- OUTRAS OBRIGACOES A CURTO PRAZO"</f>
        <v>2.1.4.00.00- OUTRAS OBRIGACOES A CURTO PRAZO</v>
      </c>
      <c r="B153" s="10">
        <v>39802421.170000002</v>
      </c>
      <c r="C153" s="10">
        <v>1193733.24</v>
      </c>
      <c r="D153" s="10">
        <v>40996154.409999996</v>
      </c>
    </row>
    <row r="154" spans="1:4" x14ac:dyDescent="0.25">
      <c r="A154" s="2" t="str">
        <f>"2.1.4.01.00- FORNECEDORES"</f>
        <v>2.1.4.01.00- FORNECEDORES</v>
      </c>
      <c r="B154" s="10">
        <v>2883145.38</v>
      </c>
      <c r="C154" s="10">
        <v>1656356.64</v>
      </c>
      <c r="D154" s="10">
        <v>4539502.0199999996</v>
      </c>
    </row>
    <row r="155" spans="1:4" x14ac:dyDescent="0.25">
      <c r="A155" s="2" t="str">
        <f>"2.1.4.01.99- Fornecedores"</f>
        <v>2.1.4.01.99- Fornecedores</v>
      </c>
      <c r="B155" s="10">
        <v>2883145.38</v>
      </c>
      <c r="C155" s="10">
        <v>1656356.64</v>
      </c>
      <c r="D155" s="10">
        <v>4539502.0199999996</v>
      </c>
    </row>
    <row r="156" spans="1:4" x14ac:dyDescent="0.25">
      <c r="A156" s="2" t="str">
        <f>"2.1.4.02.00- CONTAS A PAGAR"</f>
        <v>2.1.4.02.00- CONTAS A PAGAR</v>
      </c>
      <c r="B156" s="10">
        <v>294613.96000000002</v>
      </c>
      <c r="C156" s="10">
        <v>-2338.6999999999998</v>
      </c>
      <c r="D156" s="10">
        <v>292275.26</v>
      </c>
    </row>
    <row r="157" spans="1:4" x14ac:dyDescent="0.25">
      <c r="A157" s="2" t="str">
        <f>"2.1.4.02.01- Emprestimo Consignado - Bradesco"</f>
        <v>2.1.4.02.01- Emprestimo Consignado - Bradesco</v>
      </c>
      <c r="B157" s="10">
        <v>93016.03</v>
      </c>
      <c r="C157" s="10">
        <v>5308.65</v>
      </c>
      <c r="D157" s="10">
        <v>98324.68</v>
      </c>
    </row>
    <row r="158" spans="1:4" x14ac:dyDescent="0.25">
      <c r="A158" s="2" t="str">
        <f>"2.1.4.02.03- Emprestimo Consignado - CEF"</f>
        <v>2.1.4.02.03- Emprestimo Consignado - CEF</v>
      </c>
      <c r="B158" s="10">
        <v>33519.040000000001</v>
      </c>
      <c r="C158" s="10">
        <v>-1995.95</v>
      </c>
      <c r="D158" s="10">
        <v>31523.09</v>
      </c>
    </row>
    <row r="159" spans="1:4" x14ac:dyDescent="0.25">
      <c r="A159" s="2" t="str">
        <f>"2.1.4.02.04- Emprestimo Consignado - B.Brasil"</f>
        <v>2.1.4.02.04- Emprestimo Consignado - B.Brasil</v>
      </c>
      <c r="B159" s="10">
        <v>58292.37</v>
      </c>
      <c r="C159" s="10">
        <v>-4176.55</v>
      </c>
      <c r="D159" s="10">
        <v>54115.82</v>
      </c>
    </row>
    <row r="160" spans="1:4" x14ac:dyDescent="0.25">
      <c r="A160" s="2" t="str">
        <f>"2.1.4.02.05- Emprestimo Consignado-Banco Alfa"</f>
        <v>2.1.4.02.05- Emprestimo Consignado-Banco Alfa</v>
      </c>
      <c r="B160" s="10">
        <v>70611.070000000007</v>
      </c>
      <c r="C160" s="10">
        <v>-409.44</v>
      </c>
      <c r="D160" s="10">
        <v>70201.63</v>
      </c>
    </row>
    <row r="161" spans="1:4" x14ac:dyDescent="0.25">
      <c r="A161" s="2" t="str">
        <f>"2.1.4.02.07- Emprestimo Consignado - B. Safra"</f>
        <v>2.1.4.02.07- Emprestimo Consignado - B. Safra</v>
      </c>
      <c r="B161" s="10">
        <v>18082.39</v>
      </c>
      <c r="C161" s="10">
        <v>-875.43</v>
      </c>
      <c r="D161" s="10">
        <v>17206.96</v>
      </c>
    </row>
    <row r="162" spans="1:4" x14ac:dyDescent="0.25">
      <c r="A162" s="2" t="str">
        <f>"2.1.4.02.08- Emprestimo Consignado - BMG"</f>
        <v>2.1.4.02.08- Emprestimo Consignado - BMG</v>
      </c>
      <c r="B162" s="10">
        <v>141.55000000000001</v>
      </c>
      <c r="C162" s="10">
        <v>0</v>
      </c>
      <c r="D162" s="10">
        <v>141.55000000000001</v>
      </c>
    </row>
    <row r="163" spans="1:4" x14ac:dyDescent="0.25">
      <c r="A163" s="2" t="str">
        <f>"2.1.4.02.09- Emprestimo Consignado - BMC"</f>
        <v>2.1.4.02.09- Emprestimo Consignado - BMC</v>
      </c>
      <c r="B163" s="10">
        <v>1000.35</v>
      </c>
      <c r="C163" s="10">
        <v>-123.12</v>
      </c>
      <c r="D163" s="10">
        <v>877.23</v>
      </c>
    </row>
    <row r="164" spans="1:4" x14ac:dyDescent="0.25">
      <c r="A164" s="2" t="str">
        <f>"2.1.4.02.10- Cartão - BMG Card"</f>
        <v>2.1.4.02.10- Cartão - BMG Card</v>
      </c>
      <c r="B164" s="10">
        <v>7928.94</v>
      </c>
      <c r="C164" s="10">
        <v>257.7</v>
      </c>
      <c r="D164" s="10">
        <v>8186.64</v>
      </c>
    </row>
    <row r="165" spans="1:4" x14ac:dyDescent="0.25">
      <c r="A165" s="2" t="str">
        <f>"2.1.4.02.12- Custas judiciais"</f>
        <v>2.1.4.02.12- Custas judiciais</v>
      </c>
      <c r="B165" s="10">
        <v>0</v>
      </c>
      <c r="C165" s="10">
        <v>308</v>
      </c>
      <c r="D165" s="10">
        <v>308</v>
      </c>
    </row>
    <row r="166" spans="1:4" x14ac:dyDescent="0.25">
      <c r="A166" s="2" t="str">
        <f>"2.1.4.02.99- Contas a Pagar"</f>
        <v>2.1.4.02.99- Contas a Pagar</v>
      </c>
      <c r="B166" s="10">
        <v>12022.22</v>
      </c>
      <c r="C166" s="10">
        <v>-632.55999999999995</v>
      </c>
      <c r="D166" s="10">
        <v>11389.66</v>
      </c>
    </row>
    <row r="167" spans="1:4" x14ac:dyDescent="0.25">
      <c r="A167" s="2" t="str">
        <f>"2.1.4.03.00- CREDORES DIVERSOS"</f>
        <v>2.1.4.03.00- CREDORES DIVERSOS</v>
      </c>
      <c r="B167" s="10">
        <v>36063201.289999999</v>
      </c>
      <c r="C167" s="10">
        <v>-457299.28</v>
      </c>
      <c r="D167" s="10">
        <v>35605902.009999998</v>
      </c>
    </row>
    <row r="168" spans="1:4" x14ac:dyDescent="0.25">
      <c r="A168" s="2" t="str">
        <f>"2.1.4.03.07- Adiantamento Acionista - Municipio BH"</f>
        <v>2.1.4.03.07- Adiantamento Acionista - Municipio BH</v>
      </c>
      <c r="B168" s="10">
        <v>35088797.759999998</v>
      </c>
      <c r="C168" s="10">
        <v>-464047.78</v>
      </c>
      <c r="D168" s="10">
        <v>34624749.979999997</v>
      </c>
    </row>
    <row r="169" spans="1:4" x14ac:dyDescent="0.25">
      <c r="A169" s="2" t="str">
        <f>"2.1.4.03.17- Adiantamento de Clientes"</f>
        <v>2.1.4.03.17- Adiantamento de Clientes</v>
      </c>
      <c r="B169" s="10">
        <v>974403.53</v>
      </c>
      <c r="C169" s="10">
        <v>6748.5</v>
      </c>
      <c r="D169" s="10">
        <v>981152.03</v>
      </c>
    </row>
    <row r="170" spans="1:4" x14ac:dyDescent="0.25">
      <c r="A170" s="2" t="str">
        <f>"2.1.4.04.00- CAUCAO DE TERCEIROS/LEILAO"</f>
        <v>2.1.4.04.00- CAUCAO DE TERCEIROS/LEILAO</v>
      </c>
      <c r="B170" s="10">
        <v>561460.54</v>
      </c>
      <c r="C170" s="10">
        <v>-2985.42</v>
      </c>
      <c r="D170" s="10">
        <v>558475.12</v>
      </c>
    </row>
    <row r="171" spans="1:4" x14ac:dyDescent="0.25">
      <c r="A171" s="2" t="str">
        <f>"2.1.4.04.98- Leilões"</f>
        <v>2.1.4.04.98- Leilões</v>
      </c>
      <c r="B171" s="10">
        <v>374851</v>
      </c>
      <c r="C171" s="10">
        <v>-2985.42</v>
      </c>
      <c r="D171" s="10">
        <v>371865.58</v>
      </c>
    </row>
    <row r="172" spans="1:4" x14ac:dyDescent="0.25">
      <c r="A172" s="2" t="str">
        <f>"2.1.4.04.99- Caucao de Terceiros"</f>
        <v>2.1.4.04.99- Caucao de Terceiros</v>
      </c>
      <c r="B172" s="10">
        <v>186609.54</v>
      </c>
      <c r="C172" s="10">
        <v>0</v>
      </c>
      <c r="D172" s="10">
        <v>186609.54</v>
      </c>
    </row>
    <row r="173" spans="1:4" x14ac:dyDescent="0.25">
      <c r="A173" s="2" t="str">
        <f>"2.1.6.00.00- OBRIGACOES VINC. A PAGAR-PAMEH"</f>
        <v>2.1.6.00.00- OBRIGACOES VINC. A PAGAR-PAMEH</v>
      </c>
      <c r="B173" s="10">
        <v>122586.26</v>
      </c>
      <c r="C173" s="10">
        <v>-2516.33</v>
      </c>
      <c r="D173" s="10">
        <v>120069.93</v>
      </c>
    </row>
    <row r="174" spans="1:4" x14ac:dyDescent="0.25">
      <c r="A174" s="2" t="str">
        <f>"2.1.6.01.00- OBRIGACOES VINC. -PAMEH"</f>
        <v>2.1.6.01.00- OBRIGACOES VINC. -PAMEH</v>
      </c>
      <c r="B174" s="10">
        <v>122586.26</v>
      </c>
      <c r="C174" s="10">
        <v>-2516.33</v>
      </c>
      <c r="D174" s="10">
        <v>120069.93</v>
      </c>
    </row>
    <row r="175" spans="1:4" x14ac:dyDescent="0.25">
      <c r="A175" s="2" t="str">
        <f>"2.1.6.01.01- Obrigacoes Vinculadas - PAMEH"</f>
        <v>2.1.6.01.01- Obrigacoes Vinculadas - PAMEH</v>
      </c>
      <c r="B175" s="10">
        <v>122586.26</v>
      </c>
      <c r="C175" s="10">
        <v>-2516.33</v>
      </c>
      <c r="D175" s="10">
        <v>120069.93</v>
      </c>
    </row>
    <row r="176" spans="1:4" x14ac:dyDescent="0.25">
      <c r="A176" s="2" t="str">
        <f>"2.2.0.00.00- PASSIVO NAO CIRCULANTE"</f>
        <v>2.2.0.00.00- PASSIVO NAO CIRCULANTE</v>
      </c>
      <c r="B176" s="10">
        <v>39112594.219999999</v>
      </c>
      <c r="C176" s="10">
        <v>-75868.929999999993</v>
      </c>
      <c r="D176" s="10">
        <v>39036725.289999999</v>
      </c>
    </row>
    <row r="177" spans="1:4" x14ac:dyDescent="0.25">
      <c r="A177" s="2" t="str">
        <f>"2.2.4.00.00- OUTRAS OBRIGACOES A LONGO PRAZO"</f>
        <v>2.2.4.00.00- OUTRAS OBRIGACOES A LONGO PRAZO</v>
      </c>
      <c r="B177" s="10">
        <v>35539687.409999996</v>
      </c>
      <c r="C177" s="10">
        <v>-36649.07</v>
      </c>
      <c r="D177" s="10">
        <v>35503038.340000004</v>
      </c>
    </row>
    <row r="178" spans="1:4" x14ac:dyDescent="0.25">
      <c r="A178" s="2" t="str">
        <f>"2.2.4.01.00- CREDORES DIVERSOS"</f>
        <v>2.2.4.01.00- CREDORES DIVERSOS</v>
      </c>
      <c r="B178" s="10">
        <v>15048557.66</v>
      </c>
      <c r="C178" s="10">
        <v>0</v>
      </c>
      <c r="D178" s="10">
        <v>15048557.66</v>
      </c>
    </row>
    <row r="179" spans="1:4" x14ac:dyDescent="0.25">
      <c r="A179" s="2" t="str">
        <f>"2.2.4.01.04- Provisão para Contingências Fiscais"</f>
        <v>2.2.4.01.04- Provisão para Contingências Fiscais</v>
      </c>
      <c r="B179" s="10">
        <v>14106702.720000001</v>
      </c>
      <c r="C179" s="10">
        <v>0</v>
      </c>
      <c r="D179" s="10">
        <v>14106702.720000001</v>
      </c>
    </row>
    <row r="180" spans="1:4" x14ac:dyDescent="0.25">
      <c r="A180" s="2" t="str">
        <f>"2.2.4.01.05- INSS Segurados"</f>
        <v>2.2.4.01.05- INSS Segurados</v>
      </c>
      <c r="B180" s="10">
        <v>941854.94</v>
      </c>
      <c r="C180" s="10">
        <v>0</v>
      </c>
      <c r="D180" s="10">
        <v>941854.94</v>
      </c>
    </row>
    <row r="181" spans="1:4" x14ac:dyDescent="0.25">
      <c r="A181" s="2" t="str">
        <f>"2.2.4.04.00- ACOES JUDICIAIS E TRABALHISTAS"</f>
        <v>2.2.4.04.00- ACOES JUDICIAIS E TRABALHISTAS</v>
      </c>
      <c r="B181" s="10">
        <v>20491129.75</v>
      </c>
      <c r="C181" s="10">
        <v>-36649.07</v>
      </c>
      <c r="D181" s="10">
        <v>20454480.68</v>
      </c>
    </row>
    <row r="182" spans="1:4" x14ac:dyDescent="0.25">
      <c r="A182" s="2" t="str">
        <f>"2.2.4.04.01- Acoes judiciais"</f>
        <v>2.2.4.04.01- Acoes judiciais</v>
      </c>
      <c r="B182" s="10">
        <v>16362043.560000001</v>
      </c>
      <c r="C182" s="10">
        <v>1.06</v>
      </c>
      <c r="D182" s="10">
        <v>16362044.619999999</v>
      </c>
    </row>
    <row r="183" spans="1:4" x14ac:dyDescent="0.25">
      <c r="A183" s="2" t="str">
        <f>"2.2.4.04.02- Acoes trabalhistas"</f>
        <v>2.2.4.04.02- Acoes trabalhistas</v>
      </c>
      <c r="B183" s="10">
        <v>4129086.19</v>
      </c>
      <c r="C183" s="10">
        <v>-36650.129999999997</v>
      </c>
      <c r="D183" s="10">
        <v>4092436.06</v>
      </c>
    </row>
    <row r="184" spans="1:4" x14ac:dyDescent="0.25">
      <c r="A184" s="2" t="str">
        <f>"2.2.5.00.00- OBRIGACOES VINC.  AO PAMEH"</f>
        <v>2.2.5.00.00- OBRIGACOES VINC.  AO PAMEH</v>
      </c>
      <c r="B184" s="10">
        <v>3572906.81</v>
      </c>
      <c r="C184" s="10">
        <v>-39219.86</v>
      </c>
      <c r="D184" s="10">
        <v>3533686.95</v>
      </c>
    </row>
    <row r="185" spans="1:4" x14ac:dyDescent="0.25">
      <c r="A185" s="2" t="str">
        <f>"2.2.5.01.00- OBRIGACOES VINC.  AO PAMEH"</f>
        <v>2.2.5.01.00- OBRIGACOES VINC.  AO PAMEH</v>
      </c>
      <c r="B185" s="10">
        <v>3572906.81</v>
      </c>
      <c r="C185" s="10">
        <v>-39219.86</v>
      </c>
      <c r="D185" s="10">
        <v>3533686.95</v>
      </c>
    </row>
    <row r="186" spans="1:4" x14ac:dyDescent="0.25">
      <c r="A186" s="2" t="str">
        <f>"2.2.5.01.01- Resultado Exerc.Anteriores-PAMEH"</f>
        <v>2.2.5.01.01- Resultado Exerc.Anteriores-PAMEH</v>
      </c>
      <c r="B186" s="10">
        <v>3457128.18</v>
      </c>
      <c r="C186" s="10">
        <v>0</v>
      </c>
      <c r="D186" s="10">
        <v>3457128.18</v>
      </c>
    </row>
    <row r="187" spans="1:4" x14ac:dyDescent="0.25">
      <c r="A187" s="2" t="str">
        <f>"2.2.5.01.02- Resultado deste Exercicio-PAMEH"</f>
        <v>2.2.5.01.02- Resultado deste Exercicio-PAMEH</v>
      </c>
      <c r="B187" s="10">
        <v>-1474163.14</v>
      </c>
      <c r="C187" s="10">
        <v>-39219.86</v>
      </c>
      <c r="D187" s="10">
        <v>-1513383</v>
      </c>
    </row>
    <row r="188" spans="1:4" x14ac:dyDescent="0.25">
      <c r="A188" s="2" t="str">
        <f>"2.2.5.01.03- Ajuste Exercício Anterior - PAMEH"</f>
        <v>2.2.5.01.03- Ajuste Exercício Anterior - PAMEH</v>
      </c>
      <c r="B188" s="10">
        <v>1589941.77</v>
      </c>
      <c r="C188" s="10">
        <v>0</v>
      </c>
      <c r="D188" s="10">
        <v>1589941.77</v>
      </c>
    </row>
    <row r="189" spans="1:4" x14ac:dyDescent="0.25">
      <c r="A189" s="2" t="str">
        <f>"2.4.0.00.00- PATRIMONIO LIQUIDO"</f>
        <v>2.4.0.00.00- PATRIMONIO LIQUIDO</v>
      </c>
      <c r="B189" s="10">
        <v>-63973365.75</v>
      </c>
      <c r="C189" s="10">
        <v>-6448.41</v>
      </c>
      <c r="D189" s="10">
        <v>-63979814.159999996</v>
      </c>
    </row>
    <row r="190" spans="1:4" x14ac:dyDescent="0.25">
      <c r="A190" s="2" t="str">
        <f>"2.4.1.00.00- CAPITAL SOCIAL"</f>
        <v>2.4.1.00.00- CAPITAL SOCIAL</v>
      </c>
      <c r="B190" s="10">
        <v>67418193.159999996</v>
      </c>
      <c r="C190" s="10">
        <v>0</v>
      </c>
      <c r="D190" s="10">
        <v>67418193.159999996</v>
      </c>
    </row>
    <row r="191" spans="1:4" x14ac:dyDescent="0.25">
      <c r="A191" s="2" t="str">
        <f>"2.4.1.02.00- CAPITAL REALIZADO"</f>
        <v>2.4.1.02.00- CAPITAL REALIZADO</v>
      </c>
      <c r="B191" s="10">
        <v>67418193.159999996</v>
      </c>
      <c r="C191" s="10">
        <v>0</v>
      </c>
      <c r="D191" s="10">
        <v>67418193.159999996</v>
      </c>
    </row>
    <row r="192" spans="1:4" x14ac:dyDescent="0.25">
      <c r="A192" s="2" t="str">
        <f>"2.4.1.02.01- Capital Subscrito"</f>
        <v>2.4.1.02.01- Capital Subscrito</v>
      </c>
      <c r="B192" s="10">
        <v>75000000</v>
      </c>
      <c r="C192" s="10">
        <v>0</v>
      </c>
      <c r="D192" s="10">
        <v>75000000</v>
      </c>
    </row>
    <row r="193" spans="1:4" x14ac:dyDescent="0.25">
      <c r="A193" s="2" t="str">
        <f>"2.4.1.02.04- Capital a Realizar"</f>
        <v>2.4.1.02.04- Capital a Realizar</v>
      </c>
      <c r="B193" s="10">
        <v>-7581806.8399999999</v>
      </c>
      <c r="C193" s="10">
        <v>0</v>
      </c>
      <c r="D193" s="10">
        <v>-7581806.8399999999</v>
      </c>
    </row>
    <row r="194" spans="1:4" x14ac:dyDescent="0.25">
      <c r="A194" s="2" t="str">
        <f>"2.4.3.00.00- RESULTADOS ACUMULADOS"</f>
        <v>2.4.3.00.00- RESULTADOS ACUMULADOS</v>
      </c>
      <c r="B194" s="10">
        <v>-131391558.91</v>
      </c>
      <c r="C194" s="10">
        <v>-6448.41</v>
      </c>
      <c r="D194" s="10">
        <v>-131398007.31999999</v>
      </c>
    </row>
    <row r="195" spans="1:4" x14ac:dyDescent="0.25">
      <c r="A195" s="2" t="str">
        <f>"2.4.3.01.00- LUCROS/PREJUIZOS ACUMULADOS"</f>
        <v>2.4.3.01.00- LUCROS/PREJUIZOS ACUMULADOS</v>
      </c>
      <c r="B195" s="10">
        <v>-131391558.91</v>
      </c>
      <c r="C195" s="10">
        <v>-6448.41</v>
      </c>
      <c r="D195" s="10">
        <v>-131398007.31999999</v>
      </c>
    </row>
    <row r="196" spans="1:4" x14ac:dyDescent="0.25">
      <c r="A196" s="2" t="str">
        <f>"2.4.3.01.01- Resultados de Exerc. Anteriores"</f>
        <v>2.4.3.01.01- Resultados de Exerc. Anteriores</v>
      </c>
      <c r="B196" s="10">
        <v>-131329846.40000001</v>
      </c>
      <c r="C196" s="10">
        <v>0</v>
      </c>
      <c r="D196" s="10">
        <v>-131329846.40000001</v>
      </c>
    </row>
    <row r="197" spans="1:4" x14ac:dyDescent="0.25">
      <c r="A197" s="2" t="str">
        <f>"2.4.3.01.03- Ajuste do Exercicio Anterior"</f>
        <v>2.4.3.01.03- Ajuste do Exercicio Anterior</v>
      </c>
      <c r="B197" s="10">
        <v>-61712.51</v>
      </c>
      <c r="C197" s="10">
        <v>-6448.41</v>
      </c>
      <c r="D197" s="10">
        <v>-68160.92</v>
      </c>
    </row>
    <row r="198" spans="1:4" x14ac:dyDescent="0.25">
      <c r="A198" s="2" t="str">
        <f>""</f>
        <v/>
      </c>
      <c r="B198" s="3" t="str">
        <f>""</f>
        <v/>
      </c>
      <c r="C198" s="3" t="str">
        <f>""</f>
        <v/>
      </c>
      <c r="D198" s="3" t="str">
        <f>""</f>
        <v/>
      </c>
    </row>
    <row r="199" spans="1:4" x14ac:dyDescent="0.25">
      <c r="A199" s="2" t="str">
        <f>""</f>
        <v/>
      </c>
      <c r="B199" s="3" t="str">
        <f>""</f>
        <v/>
      </c>
      <c r="C199" s="3" t="str">
        <f>""</f>
        <v/>
      </c>
      <c r="D199" s="3" t="str">
        <f>""</f>
        <v/>
      </c>
    </row>
    <row r="200" spans="1:4" x14ac:dyDescent="0.25">
      <c r="A200" s="2" t="str">
        <f>""</f>
        <v/>
      </c>
      <c r="B200" s="3" t="str">
        <f>""</f>
        <v/>
      </c>
      <c r="C200" s="3" t="str">
        <f>""</f>
        <v/>
      </c>
      <c r="D200" s="3" t="str">
        <f>""</f>
        <v/>
      </c>
    </row>
    <row r="201" spans="1:4" x14ac:dyDescent="0.25">
      <c r="A201" s="2" t="str">
        <f>""</f>
        <v/>
      </c>
      <c r="B201" s="3" t="str">
        <f>""</f>
        <v/>
      </c>
      <c r="C201" s="3" t="str">
        <f>""</f>
        <v/>
      </c>
      <c r="D201" s="3" t="str">
        <f>""</f>
        <v/>
      </c>
    </row>
    <row r="202" spans="1:4" x14ac:dyDescent="0.25">
      <c r="A202" s="2" t="str">
        <f>""</f>
        <v/>
      </c>
      <c r="B202" s="3" t="str">
        <f>""</f>
        <v/>
      </c>
      <c r="C202" s="3" t="str">
        <f>""</f>
        <v/>
      </c>
      <c r="D202" s="3" t="str">
        <f>""</f>
        <v/>
      </c>
    </row>
    <row r="203" spans="1:4" x14ac:dyDescent="0.25">
      <c r="A203" s="2" t="str">
        <f>""</f>
        <v/>
      </c>
      <c r="B203" s="3" t="str">
        <f>""</f>
        <v/>
      </c>
      <c r="C203" s="3" t="str">
        <f>""</f>
        <v/>
      </c>
      <c r="D203" s="3" t="str">
        <f>""</f>
        <v/>
      </c>
    </row>
    <row r="204" spans="1:4" x14ac:dyDescent="0.25">
      <c r="A204" s="2" t="str">
        <f>""</f>
        <v/>
      </c>
      <c r="B204" s="3" t="str">
        <f>""</f>
        <v/>
      </c>
      <c r="C204" s="3" t="str">
        <f>""</f>
        <v/>
      </c>
      <c r="D204" s="3" t="str">
        <f>""</f>
        <v/>
      </c>
    </row>
    <row r="205" spans="1:4" x14ac:dyDescent="0.25">
      <c r="A205" s="2" t="str">
        <f>"DESPESAS"</f>
        <v>DESPESAS</v>
      </c>
      <c r="B205" s="3" t="str">
        <f>""</f>
        <v/>
      </c>
      <c r="C205" s="3" t="str">
        <f>""</f>
        <v/>
      </c>
      <c r="D205" s="3" t="str">
        <f>""</f>
        <v/>
      </c>
    </row>
    <row r="206" spans="1:4" x14ac:dyDescent="0.25">
      <c r="A206" s="2" t="str">
        <f>"3.0.0.00.00- DESPESAS"</f>
        <v>3.0.0.00.00- DESPESAS</v>
      </c>
      <c r="B206" s="10">
        <v>127561225.47</v>
      </c>
      <c r="C206" s="10">
        <v>15277297.41</v>
      </c>
      <c r="D206" s="10">
        <v>142838522.88</v>
      </c>
    </row>
    <row r="207" spans="1:4" x14ac:dyDescent="0.25">
      <c r="A207" s="2" t="str">
        <f>"3.1.0.00.00- DESPESAS OPERACIONAIS"</f>
        <v>3.1.0.00.00- DESPESAS OPERACIONAIS</v>
      </c>
      <c r="B207" s="10">
        <v>127561225.47</v>
      </c>
      <c r="C207" s="10">
        <v>15277297.41</v>
      </c>
      <c r="D207" s="10">
        <v>142838522.88</v>
      </c>
    </row>
    <row r="208" spans="1:4" x14ac:dyDescent="0.25">
      <c r="A208" s="2" t="str">
        <f>"3.1.1.00.00- SALARIOS ADICIONAIS E HONORARIOS"</f>
        <v>3.1.1.00.00- SALARIOS ADICIONAIS E HONORARIOS</v>
      </c>
      <c r="B208" s="10">
        <v>63928172.329999998</v>
      </c>
      <c r="C208" s="10">
        <v>6860476.9199999999</v>
      </c>
      <c r="D208" s="10">
        <v>70788649.25</v>
      </c>
    </row>
    <row r="209" spans="1:4" x14ac:dyDescent="0.25">
      <c r="A209" s="2" t="str">
        <f>"3.1.1.00.01- Honorarios diretoria"</f>
        <v>3.1.1.00.01- Honorarios diretoria</v>
      </c>
      <c r="B209" s="10">
        <v>781340.16000000003</v>
      </c>
      <c r="C209" s="10">
        <v>89146.42</v>
      </c>
      <c r="D209" s="10">
        <v>870486.58</v>
      </c>
    </row>
    <row r="210" spans="1:4" x14ac:dyDescent="0.25">
      <c r="A210" s="2" t="str">
        <f>"3.1.1.00.02- Honorarios conselho fiscal"</f>
        <v>3.1.1.00.02- Honorarios conselho fiscal</v>
      </c>
      <c r="B210" s="10">
        <v>53123.82</v>
      </c>
      <c r="C210" s="10">
        <v>5311.5</v>
      </c>
      <c r="D210" s="10">
        <v>58435.32</v>
      </c>
    </row>
    <row r="211" spans="1:4" x14ac:dyDescent="0.25">
      <c r="A211" s="2" t="str">
        <f>"3.1.1.00.03- Honorarios cons. administracao"</f>
        <v>3.1.1.00.03- Honorarios cons. administracao</v>
      </c>
      <c r="B211" s="10">
        <v>106154.7</v>
      </c>
      <c r="C211" s="10">
        <v>10613.71</v>
      </c>
      <c r="D211" s="10">
        <v>116768.41</v>
      </c>
    </row>
    <row r="212" spans="1:4" x14ac:dyDescent="0.25">
      <c r="A212" s="2" t="str">
        <f>"3.1.1.00.04- Salarios e adicionais"</f>
        <v>3.1.1.00.04- Salarios e adicionais</v>
      </c>
      <c r="B212" s="10">
        <v>48999978.649999999</v>
      </c>
      <c r="C212" s="10">
        <v>5676371.9100000001</v>
      </c>
      <c r="D212" s="10">
        <v>54676350.560000002</v>
      </c>
    </row>
    <row r="213" spans="1:4" x14ac:dyDescent="0.25">
      <c r="A213" s="2" t="str">
        <f>"3.1.1.00.05- Ferias e abono pecuniario"</f>
        <v>3.1.1.00.05- Ferias e abono pecuniario</v>
      </c>
      <c r="B213" s="10">
        <v>7249324.9900000002</v>
      </c>
      <c r="C213" s="10">
        <v>601742.31000000006</v>
      </c>
      <c r="D213" s="10">
        <v>7851067.2999999998</v>
      </c>
    </row>
    <row r="214" spans="1:4" x14ac:dyDescent="0.25">
      <c r="A214" s="2" t="str">
        <f>"3.1.1.00.06- Decimo terceiro salario"</f>
        <v>3.1.1.00.06- Decimo terceiro salario</v>
      </c>
      <c r="B214" s="10">
        <v>4494996.05</v>
      </c>
      <c r="C214" s="10">
        <v>457057.68</v>
      </c>
      <c r="D214" s="10">
        <v>4952053.7300000004</v>
      </c>
    </row>
    <row r="215" spans="1:4" x14ac:dyDescent="0.25">
      <c r="A215" s="2" t="str">
        <f>"3.1.1.00.07- Indenizacoes trabalhistas"</f>
        <v>3.1.1.00.07- Indenizacoes trabalhistas</v>
      </c>
      <c r="B215" s="10">
        <v>139077.78</v>
      </c>
      <c r="C215" s="10">
        <v>6541.06</v>
      </c>
      <c r="D215" s="10">
        <v>145618.84</v>
      </c>
    </row>
    <row r="216" spans="1:4" x14ac:dyDescent="0.25">
      <c r="A216" s="2" t="str">
        <f>"3.1.1.00.08- Bolsas de estagiario"</f>
        <v>3.1.1.00.08- Bolsas de estagiario</v>
      </c>
      <c r="B216" s="10">
        <v>142346.75</v>
      </c>
      <c r="C216" s="10">
        <v>13692.33</v>
      </c>
      <c r="D216" s="10">
        <v>156039.07999999999</v>
      </c>
    </row>
    <row r="217" spans="1:4" x14ac:dyDescent="0.25">
      <c r="A217" s="2" t="str">
        <f>"3.1.1.00.10- Indenizações trabalhistas - ACT"</f>
        <v>3.1.1.00.10- Indenizações trabalhistas - ACT</v>
      </c>
      <c r="B217" s="10">
        <v>1961829.43</v>
      </c>
      <c r="C217" s="10">
        <v>0</v>
      </c>
      <c r="D217" s="10">
        <v>1961829.43</v>
      </c>
    </row>
    <row r="218" spans="1:4" x14ac:dyDescent="0.25">
      <c r="A218" s="2" t="str">
        <f>"3.1.2.01.00- ENCARGOS SOCIAIS"</f>
        <v>3.1.2.01.00- ENCARGOS SOCIAIS</v>
      </c>
      <c r="B218" s="10">
        <v>28116985.960000001</v>
      </c>
      <c r="C218" s="10">
        <v>2680348.7799999998</v>
      </c>
      <c r="D218" s="10">
        <v>30797334.739999998</v>
      </c>
    </row>
    <row r="219" spans="1:4" x14ac:dyDescent="0.25">
      <c r="A219" s="2" t="str">
        <f>"3.1.2.01.01- INSS"</f>
        <v>3.1.2.01.01- INSS</v>
      </c>
      <c r="B219" s="10">
        <v>21915265.600000001</v>
      </c>
      <c r="C219" s="10">
        <v>2094909.71</v>
      </c>
      <c r="D219" s="10">
        <v>24010175.309999999</v>
      </c>
    </row>
    <row r="220" spans="1:4" x14ac:dyDescent="0.25">
      <c r="A220" s="2" t="str">
        <f>"3.1.2.01.02- FGTS"</f>
        <v>3.1.2.01.02- FGTS</v>
      </c>
      <c r="B220" s="10">
        <v>6201720.3600000003</v>
      </c>
      <c r="C220" s="10">
        <v>585439.06999999995</v>
      </c>
      <c r="D220" s="10">
        <v>6787159.4299999997</v>
      </c>
    </row>
    <row r="221" spans="1:4" x14ac:dyDescent="0.25">
      <c r="A221" s="2" t="str">
        <f>"3.1.2.02.00- OUTRAS DESPESAS COM PESSOAL"</f>
        <v>3.1.2.02.00- OUTRAS DESPESAS COM PESSOAL</v>
      </c>
      <c r="B221" s="10">
        <v>12026137.77</v>
      </c>
      <c r="C221" s="10">
        <v>1273583.1499999999</v>
      </c>
      <c r="D221" s="10">
        <v>13299720.92</v>
      </c>
    </row>
    <row r="222" spans="1:4" x14ac:dyDescent="0.25">
      <c r="A222" s="2" t="str">
        <f>"3.1.2.02.01- Seguros de Vida"</f>
        <v>3.1.2.02.01- Seguros de Vida</v>
      </c>
      <c r="B222" s="10">
        <v>147615.73000000001</v>
      </c>
      <c r="C222" s="10">
        <v>12377.75</v>
      </c>
      <c r="D222" s="10">
        <v>159993.48000000001</v>
      </c>
    </row>
    <row r="223" spans="1:4" x14ac:dyDescent="0.25">
      <c r="A223" s="2" t="str">
        <f>"3.1.2.02.02- Ass. Medica Odontologica"</f>
        <v>3.1.2.02.02- Ass. Medica Odontologica</v>
      </c>
      <c r="B223" s="10">
        <v>3217113.92</v>
      </c>
      <c r="C223" s="10">
        <v>341211.72</v>
      </c>
      <c r="D223" s="10">
        <v>3558325.64</v>
      </c>
    </row>
    <row r="224" spans="1:4" x14ac:dyDescent="0.25">
      <c r="A224" s="2" t="str">
        <f>"3.1.2.02.03- Vale Transporte"</f>
        <v>3.1.2.02.03- Vale Transporte</v>
      </c>
      <c r="B224" s="10">
        <v>1045252.76</v>
      </c>
      <c r="C224" s="10">
        <v>77581.05</v>
      </c>
      <c r="D224" s="10">
        <v>1122833.81</v>
      </c>
    </row>
    <row r="225" spans="1:4" x14ac:dyDescent="0.25">
      <c r="A225" s="2" t="str">
        <f>"3.1.2.02.04- Vale Refeicao/Alimentacao"</f>
        <v>3.1.2.02.04- Vale Refeicao/Alimentacao</v>
      </c>
      <c r="B225" s="10">
        <v>7248648.9000000004</v>
      </c>
      <c r="C225" s="10">
        <v>804779.18</v>
      </c>
      <c r="D225" s="10">
        <v>8053428.0800000001</v>
      </c>
    </row>
    <row r="226" spans="1:4" x14ac:dyDescent="0.25">
      <c r="A226" s="2" t="str">
        <f>"3.1.2.02.05- Compl. Auxilio Doenca"</f>
        <v>3.1.2.02.05- Compl. Auxilio Doenca</v>
      </c>
      <c r="B226" s="10">
        <v>139041.79999999999</v>
      </c>
      <c r="C226" s="10">
        <v>15259.51</v>
      </c>
      <c r="D226" s="10">
        <v>154301.31</v>
      </c>
    </row>
    <row r="227" spans="1:4" x14ac:dyDescent="0.25">
      <c r="A227" s="2" t="str">
        <f>"3.1.2.02.06- Cursos e Treinamentos"</f>
        <v>3.1.2.02.06- Cursos e Treinamentos</v>
      </c>
      <c r="B227" s="10">
        <v>15099</v>
      </c>
      <c r="C227" s="10">
        <v>617</v>
      </c>
      <c r="D227" s="10">
        <v>15716</v>
      </c>
    </row>
    <row r="228" spans="1:4" x14ac:dyDescent="0.25">
      <c r="A228" s="2" t="str">
        <f>"3.1.2.02.07- Auxilio Creche"</f>
        <v>3.1.2.02.07- Auxilio Creche</v>
      </c>
      <c r="B228" s="10">
        <v>213365.66</v>
      </c>
      <c r="C228" s="10">
        <v>21756.94</v>
      </c>
      <c r="D228" s="10">
        <v>235122.6</v>
      </c>
    </row>
    <row r="229" spans="1:4" x14ac:dyDescent="0.25">
      <c r="A229" s="2" t="str">
        <f>"3.1.3.00.00- MATERIAIS"</f>
        <v>3.1.3.00.00- MATERIAIS</v>
      </c>
      <c r="B229" s="10">
        <v>720720.48</v>
      </c>
      <c r="C229" s="10">
        <v>93873.07</v>
      </c>
      <c r="D229" s="10">
        <v>814593.55</v>
      </c>
    </row>
    <row r="230" spans="1:4" x14ac:dyDescent="0.25">
      <c r="A230" s="2" t="str">
        <f>"3.1.3.00.01- Bens de natureza permanente"</f>
        <v>3.1.3.00.01- Bens de natureza permanente</v>
      </c>
      <c r="B230" s="10">
        <v>339.4</v>
      </c>
      <c r="C230" s="10">
        <v>0</v>
      </c>
      <c r="D230" s="10">
        <v>339.4</v>
      </c>
    </row>
    <row r="231" spans="1:4" x14ac:dyDescent="0.25">
      <c r="A231" s="2" t="str">
        <f>"3.1.3.00.05- Placas/acessorios/mat.fixacao"</f>
        <v>3.1.3.00.05- Placas/acessorios/mat.fixacao</v>
      </c>
      <c r="B231" s="10">
        <v>12705</v>
      </c>
      <c r="C231" s="10">
        <v>2566</v>
      </c>
      <c r="D231" s="10">
        <v>15271</v>
      </c>
    </row>
    <row r="232" spans="1:4" x14ac:dyDescent="0.25">
      <c r="A232" s="2" t="str">
        <f>"3.1.3.00.08- Material seguranca e uniformes"</f>
        <v>3.1.3.00.08- Material seguranca e uniformes</v>
      </c>
      <c r="B232" s="10">
        <v>2817.99</v>
      </c>
      <c r="C232" s="10">
        <v>1003.2</v>
      </c>
      <c r="D232" s="10">
        <v>3821.19</v>
      </c>
    </row>
    <row r="233" spans="1:4" x14ac:dyDescent="0.25">
      <c r="A233" s="2" t="str">
        <f>"3.1.3.00.09- Material limp/conserv/copa/cozin"</f>
        <v>3.1.3.00.09- Material limp/conserv/copa/cozin</v>
      </c>
      <c r="B233" s="10">
        <v>133753.74</v>
      </c>
      <c r="C233" s="10">
        <v>17773.72</v>
      </c>
      <c r="D233" s="10">
        <v>151527.46</v>
      </c>
    </row>
    <row r="234" spans="1:4" x14ac:dyDescent="0.25">
      <c r="A234" s="2" t="str">
        <f>"3.1.3.00.10- Impressos e material de escritorio"</f>
        <v>3.1.3.00.10- Impressos e material de escritorio</v>
      </c>
      <c r="B234" s="10">
        <v>161848.39000000001</v>
      </c>
      <c r="C234" s="10">
        <v>15472.09</v>
      </c>
      <c r="D234" s="10">
        <v>177320.48</v>
      </c>
    </row>
    <row r="235" spans="1:4" x14ac:dyDescent="0.25">
      <c r="A235" s="2" t="str">
        <f>"3.1.3.00.11- Materiais manut. inst. prediais"</f>
        <v>3.1.3.00.11- Materiais manut. inst. prediais</v>
      </c>
      <c r="B235" s="10">
        <v>82618.41</v>
      </c>
      <c r="C235" s="10">
        <v>19605.060000000001</v>
      </c>
      <c r="D235" s="10">
        <v>102223.47</v>
      </c>
    </row>
    <row r="236" spans="1:4" x14ac:dyDescent="0.25">
      <c r="A236" s="2" t="str">
        <f>"3.1.3.00.12- Carnes estacionamento rotativo"</f>
        <v>3.1.3.00.12- Carnes estacionamento rotativo</v>
      </c>
      <c r="B236" s="10">
        <v>286679.25</v>
      </c>
      <c r="C236" s="10">
        <v>31853.25</v>
      </c>
      <c r="D236" s="10">
        <v>318532.5</v>
      </c>
    </row>
    <row r="237" spans="1:4" x14ac:dyDescent="0.25">
      <c r="A237" s="2" t="str">
        <f>"3.1.3.00.15- Materiais e supriment informatic"</f>
        <v>3.1.3.00.15- Materiais e supriment informatic</v>
      </c>
      <c r="B237" s="10">
        <v>30189.97</v>
      </c>
      <c r="C237" s="10">
        <v>2483.75</v>
      </c>
      <c r="D237" s="10">
        <v>32673.72</v>
      </c>
    </row>
    <row r="238" spans="1:4" x14ac:dyDescent="0.25">
      <c r="A238" s="2" t="str">
        <f>"3.1.3.00.17- Comb./lubrificantes"</f>
        <v>3.1.3.00.17- Comb./lubrificantes</v>
      </c>
      <c r="B238" s="10">
        <v>191.11</v>
      </c>
      <c r="C238" s="10">
        <v>0</v>
      </c>
      <c r="D238" s="10">
        <v>191.11</v>
      </c>
    </row>
    <row r="239" spans="1:4" x14ac:dyDescent="0.25">
      <c r="A239" s="2" t="str">
        <f>"3.1.3.00.18- Livros/jornais/rev./publicacoes"</f>
        <v>3.1.3.00.18- Livros/jornais/rev./publicacoes</v>
      </c>
      <c r="B239" s="10">
        <v>1360.8</v>
      </c>
      <c r="C239" s="10">
        <v>2756</v>
      </c>
      <c r="D239" s="10">
        <v>4116.8</v>
      </c>
    </row>
    <row r="240" spans="1:4" x14ac:dyDescent="0.25">
      <c r="A240" s="2" t="str">
        <f>"3.1.3.00.19- Mat.man.cons.veiculos"</f>
        <v>3.1.3.00.19- Mat.man.cons.veiculos</v>
      </c>
      <c r="B240" s="10">
        <v>624</v>
      </c>
      <c r="C240" s="10">
        <v>0</v>
      </c>
      <c r="D240" s="10">
        <v>624</v>
      </c>
    </row>
    <row r="241" spans="1:4" x14ac:dyDescent="0.25">
      <c r="A241" s="2" t="str">
        <f>"3.1.3.00.99- Outros materiais"</f>
        <v>3.1.3.00.99- Outros materiais</v>
      </c>
      <c r="B241" s="10">
        <v>7592.42</v>
      </c>
      <c r="C241" s="10">
        <v>360</v>
      </c>
      <c r="D241" s="10">
        <v>7952.42</v>
      </c>
    </row>
    <row r="242" spans="1:4" x14ac:dyDescent="0.25">
      <c r="A242" s="2" t="str">
        <f>"3.1.4.00.00- SERVICOS PRESTADOS POR TERCEIROS"</f>
        <v>3.1.4.00.00- SERVICOS PRESTADOS POR TERCEIROS</v>
      </c>
      <c r="B242" s="10">
        <v>17889046.289999999</v>
      </c>
      <c r="C242" s="10">
        <v>3897209.66</v>
      </c>
      <c r="D242" s="10">
        <v>21786255.949999999</v>
      </c>
    </row>
    <row r="243" spans="1:4" x14ac:dyDescent="0.25">
      <c r="A243" s="2" t="str">
        <f>"3.1.4.00.01- Consultoria"</f>
        <v>3.1.4.00.01- Consultoria</v>
      </c>
      <c r="B243" s="10">
        <v>26600</v>
      </c>
      <c r="C243" s="10">
        <v>0</v>
      </c>
      <c r="D243" s="10">
        <v>26600</v>
      </c>
    </row>
    <row r="244" spans="1:4" x14ac:dyDescent="0.25">
      <c r="A244" s="2" t="str">
        <f>"3.1.4.00.03- Locacao de equipamentos"</f>
        <v>3.1.4.00.03- Locacao de equipamentos</v>
      </c>
      <c r="B244" s="10">
        <v>65258.6</v>
      </c>
      <c r="C244" s="10">
        <v>5748</v>
      </c>
      <c r="D244" s="10">
        <v>71006.600000000006</v>
      </c>
    </row>
    <row r="245" spans="1:4" x14ac:dyDescent="0.25">
      <c r="A245" s="2" t="str">
        <f>"3.1.4.00.08- Servicos de auditoria"</f>
        <v>3.1.4.00.08- Servicos de auditoria</v>
      </c>
      <c r="B245" s="10">
        <v>16333.28</v>
      </c>
      <c r="C245" s="10">
        <v>0</v>
      </c>
      <c r="D245" s="10">
        <v>16333.28</v>
      </c>
    </row>
    <row r="246" spans="1:4" x14ac:dyDescent="0.25">
      <c r="A246" s="2" t="str">
        <f>"3.1.4.00.10- Mao de obra contratada"</f>
        <v>3.1.4.00.10- Mao de obra contratada</v>
      </c>
      <c r="B246" s="10">
        <v>872506.08</v>
      </c>
      <c r="C246" s="10">
        <v>58241.120000000003</v>
      </c>
      <c r="D246" s="10">
        <v>930747.2</v>
      </c>
    </row>
    <row r="247" spans="1:4" x14ac:dyDescent="0.25">
      <c r="A247" s="2" t="str">
        <f>"3.1.4.00.13- Publicidade e divulgacao"</f>
        <v>3.1.4.00.13- Publicidade e divulgacao</v>
      </c>
      <c r="B247" s="10">
        <v>156191.56</v>
      </c>
      <c r="C247" s="10">
        <v>13677.75</v>
      </c>
      <c r="D247" s="10">
        <v>169869.31</v>
      </c>
    </row>
    <row r="248" spans="1:4" x14ac:dyDescent="0.25">
      <c r="A248" s="2" t="str">
        <f>"3.1.4.00.14- Informatica-serv. e/ou locacao"</f>
        <v>3.1.4.00.14- Informatica-serv. e/ou locacao</v>
      </c>
      <c r="B248" s="10">
        <v>1180058.8700000001</v>
      </c>
      <c r="C248" s="10">
        <v>218679.14</v>
      </c>
      <c r="D248" s="10">
        <v>1398738.01</v>
      </c>
    </row>
    <row r="249" spans="1:4" x14ac:dyDescent="0.25">
      <c r="A249" s="2" t="str">
        <f>"3.1.4.00.15- Outros serv. prestados - PF"</f>
        <v>3.1.4.00.15- Outros serv. prestados - PF</v>
      </c>
      <c r="B249" s="10">
        <v>112118.22</v>
      </c>
      <c r="C249" s="10">
        <v>9333.68</v>
      </c>
      <c r="D249" s="10">
        <v>121451.9</v>
      </c>
    </row>
    <row r="250" spans="1:4" x14ac:dyDescent="0.25">
      <c r="A250" s="2" t="str">
        <f>"3.1.4.00.16- Outros serv. Prestados - PJ"</f>
        <v>3.1.4.00.16- Outros serv. Prestados - PJ</v>
      </c>
      <c r="B250" s="10">
        <v>226050.27</v>
      </c>
      <c r="C250" s="10">
        <v>7727.5</v>
      </c>
      <c r="D250" s="10">
        <v>233777.77</v>
      </c>
    </row>
    <row r="251" spans="1:4" x14ac:dyDescent="0.25">
      <c r="A251" s="2" t="str">
        <f>"3.1.4.00.17- Servicos postais"</f>
        <v>3.1.4.00.17- Servicos postais</v>
      </c>
      <c r="B251" s="10">
        <v>57543.92</v>
      </c>
      <c r="C251" s="10">
        <v>4415.96</v>
      </c>
      <c r="D251" s="10">
        <v>61959.88</v>
      </c>
    </row>
    <row r="252" spans="1:4" x14ac:dyDescent="0.25">
      <c r="A252" s="2" t="str">
        <f>"3.1.4.00.18- INSS s/servicos de terceiros"</f>
        <v>3.1.4.00.18- INSS s/servicos de terceiros</v>
      </c>
      <c r="B252" s="10">
        <v>27055.55</v>
      </c>
      <c r="C252" s="10">
        <v>3569.4</v>
      </c>
      <c r="D252" s="10">
        <v>30624.95</v>
      </c>
    </row>
    <row r="253" spans="1:4" x14ac:dyDescent="0.25">
      <c r="A253" s="2" t="str">
        <f>"3.1.4.00.19- Manut. imoveis/instal/equip.oper"</f>
        <v>3.1.4.00.19- Manut. imoveis/instal/equip.oper</v>
      </c>
      <c r="B253" s="10">
        <v>423923.83</v>
      </c>
      <c r="C253" s="10">
        <v>35884.1</v>
      </c>
      <c r="D253" s="10">
        <v>459807.93</v>
      </c>
    </row>
    <row r="254" spans="1:4" x14ac:dyDescent="0.25">
      <c r="A254" s="2" t="str">
        <f>"3.1.4.00.21- Manut. moveis e equip. Escritorio"</f>
        <v>3.1.4.00.21- Manut. moveis e equip. Escritorio</v>
      </c>
      <c r="B254" s="10">
        <v>40667.08</v>
      </c>
      <c r="C254" s="10">
        <v>586</v>
      </c>
      <c r="D254" s="10">
        <v>41253.08</v>
      </c>
    </row>
    <row r="255" spans="1:4" x14ac:dyDescent="0.25">
      <c r="A255" s="2" t="str">
        <f>"3.1.4.00.24- Loc.serv.mensageiro"</f>
        <v>3.1.4.00.24- Loc.serv.mensageiro</v>
      </c>
      <c r="B255" s="10">
        <v>34838.81</v>
      </c>
      <c r="C255" s="10">
        <v>0</v>
      </c>
      <c r="D255" s="10">
        <v>34838.81</v>
      </c>
    </row>
    <row r="256" spans="1:4" x14ac:dyDescent="0.25">
      <c r="A256" s="2" t="str">
        <f>"3.1.4.00.26- Serv.limp.conserv."</f>
        <v>3.1.4.00.26- Serv.limp.conserv.</v>
      </c>
      <c r="B256" s="10">
        <v>14489694.17</v>
      </c>
      <c r="C256" s="10">
        <v>3481279.02</v>
      </c>
      <c r="D256" s="10">
        <v>17970973.190000001</v>
      </c>
    </row>
    <row r="257" spans="1:4" x14ac:dyDescent="0.25">
      <c r="A257" s="2" t="str">
        <f>"3.1.4.00.32- Vale transporte"</f>
        <v>3.1.4.00.32- Vale transporte</v>
      </c>
      <c r="B257" s="10">
        <v>929.63</v>
      </c>
      <c r="C257" s="10">
        <v>0</v>
      </c>
      <c r="D257" s="10">
        <v>929.63</v>
      </c>
    </row>
    <row r="258" spans="1:4" x14ac:dyDescent="0.25">
      <c r="A258" s="2" t="str">
        <f>"3.1.4.00.33- Vale Ref./Al.terceir."</f>
        <v>3.1.4.00.33- Vale Ref./Al.terceir.</v>
      </c>
      <c r="B258" s="10">
        <v>2454.6999999999998</v>
      </c>
      <c r="C258" s="10">
        <v>0</v>
      </c>
      <c r="D258" s="10">
        <v>2454.6999999999998</v>
      </c>
    </row>
    <row r="259" spans="1:4" x14ac:dyDescent="0.25">
      <c r="A259" s="2" t="str">
        <f>"3.1.4.00.34- Comissao s/venda rotativo"</f>
        <v>3.1.4.00.34- Comissao s/venda rotativo</v>
      </c>
      <c r="B259" s="10">
        <v>650533.78</v>
      </c>
      <c r="C259" s="10">
        <v>64254.7</v>
      </c>
      <c r="D259" s="10">
        <v>714788.48</v>
      </c>
    </row>
    <row r="260" spans="1:4" x14ac:dyDescent="0.25">
      <c r="A260" s="2" t="str">
        <f>"3.1.4.00.36- (-) Desconto ISSQN conf Lei 9145 serv. P"</f>
        <v>3.1.4.00.36- (-) Desconto ISSQN conf Lei 9145 serv. P</v>
      </c>
      <c r="B260" s="10">
        <v>-808116.27</v>
      </c>
      <c r="C260" s="10">
        <v>-78754.649999999994</v>
      </c>
      <c r="D260" s="10">
        <v>-886870.92</v>
      </c>
    </row>
    <row r="261" spans="1:4" x14ac:dyDescent="0.25">
      <c r="A261" s="2" t="str">
        <f>"3.1.4.00.39- Convênio Guarda Municipal"</f>
        <v>3.1.4.00.39- Convênio Guarda Municipal</v>
      </c>
      <c r="B261" s="10">
        <v>314404.21000000002</v>
      </c>
      <c r="C261" s="10">
        <v>72567.94</v>
      </c>
      <c r="D261" s="10">
        <v>386972.15</v>
      </c>
    </row>
    <row r="262" spans="1:4" x14ac:dyDescent="0.25">
      <c r="A262" s="2" t="str">
        <f>"3.1.5.00.00- TARIFAS PUBLICAS"</f>
        <v>3.1.5.00.00- TARIFAS PUBLICAS</v>
      </c>
      <c r="B262" s="10">
        <v>1349153.54</v>
      </c>
      <c r="C262" s="10">
        <v>83185.38</v>
      </c>
      <c r="D262" s="10">
        <v>1432338.92</v>
      </c>
    </row>
    <row r="263" spans="1:4" x14ac:dyDescent="0.25">
      <c r="A263" s="2" t="str">
        <f>"3.1.5.00.02- Energia eletrica"</f>
        <v>3.1.5.00.02- Energia eletrica</v>
      </c>
      <c r="B263" s="10">
        <v>1035811.41</v>
      </c>
      <c r="C263" s="10">
        <v>53837.8</v>
      </c>
      <c r="D263" s="10">
        <v>1089649.21</v>
      </c>
    </row>
    <row r="264" spans="1:4" x14ac:dyDescent="0.25">
      <c r="A264" s="2" t="str">
        <f>"3.1.5.00.03- Telefone"</f>
        <v>3.1.5.00.03- Telefone</v>
      </c>
      <c r="B264" s="10">
        <v>313342.13</v>
      </c>
      <c r="C264" s="10">
        <v>29347.58</v>
      </c>
      <c r="D264" s="10">
        <v>342689.71</v>
      </c>
    </row>
    <row r="265" spans="1:4" x14ac:dyDescent="0.25">
      <c r="A265" s="2" t="str">
        <f>"3.1.6.00.00- DESPESAS TRIBUTARIAS"</f>
        <v>3.1.6.00.00- DESPESAS TRIBUTARIAS</v>
      </c>
      <c r="B265" s="10">
        <v>2362935.0699999998</v>
      </c>
      <c r="C265" s="10">
        <v>254374.68</v>
      </c>
      <c r="D265" s="10">
        <v>2617309.75</v>
      </c>
    </row>
    <row r="266" spans="1:4" x14ac:dyDescent="0.25">
      <c r="A266" s="2" t="str">
        <f>"3.1.6.00.01- Taxas legais"</f>
        <v>3.1.6.00.01- Taxas legais</v>
      </c>
      <c r="B266" s="10">
        <v>20860.87</v>
      </c>
      <c r="C266" s="10">
        <v>0</v>
      </c>
      <c r="D266" s="10">
        <v>20860.87</v>
      </c>
    </row>
    <row r="267" spans="1:4" x14ac:dyDescent="0.25">
      <c r="A267" s="2" t="str">
        <f>"3.1.6.00.03- IOF"</f>
        <v>3.1.6.00.03- IOF</v>
      </c>
      <c r="B267" s="10">
        <v>1464.07</v>
      </c>
      <c r="C267" s="10">
        <v>0</v>
      </c>
      <c r="D267" s="10">
        <v>1464.07</v>
      </c>
    </row>
    <row r="268" spans="1:4" x14ac:dyDescent="0.25">
      <c r="A268" s="2" t="str">
        <f>"3.1.6.00.06- PIS"</f>
        <v>3.1.6.00.06- PIS</v>
      </c>
      <c r="B268" s="10">
        <v>385710.81</v>
      </c>
      <c r="C268" s="10">
        <v>44091.58</v>
      </c>
      <c r="D268" s="10">
        <v>429802.39</v>
      </c>
    </row>
    <row r="269" spans="1:4" x14ac:dyDescent="0.25">
      <c r="A269" s="2" t="str">
        <f>"3.1.6.00.07- COFINS"</f>
        <v>3.1.6.00.07- COFINS</v>
      </c>
      <c r="B269" s="10">
        <v>1776607.43</v>
      </c>
      <c r="C269" s="10">
        <v>203088.49</v>
      </c>
      <c r="D269" s="10">
        <v>1979695.92</v>
      </c>
    </row>
    <row r="270" spans="1:4" x14ac:dyDescent="0.25">
      <c r="A270" s="2" t="str">
        <f>"3.1.6.00.08- Multas indedutiveis"</f>
        <v>3.1.6.00.08- Multas indedutiveis</v>
      </c>
      <c r="B270" s="10">
        <v>26966.39</v>
      </c>
      <c r="C270" s="10">
        <v>0</v>
      </c>
      <c r="D270" s="10">
        <v>26966.39</v>
      </c>
    </row>
    <row r="271" spans="1:4" x14ac:dyDescent="0.25">
      <c r="A271" s="2" t="str">
        <f>"3.1.6.00.10- ISS s/faturamento"</f>
        <v>3.1.6.00.10- ISS s/faturamento</v>
      </c>
      <c r="B271" s="10">
        <v>21715.96</v>
      </c>
      <c r="C271" s="10">
        <v>2545.2399999999998</v>
      </c>
      <c r="D271" s="10">
        <v>24261.200000000001</v>
      </c>
    </row>
    <row r="272" spans="1:4" x14ac:dyDescent="0.25">
      <c r="A272" s="2" t="str">
        <f>"3.1.6.00.11- Custas/despesas judiciais"</f>
        <v>3.1.6.00.11- Custas/despesas judiciais</v>
      </c>
      <c r="B272" s="10">
        <v>60</v>
      </c>
      <c r="C272" s="10">
        <v>0</v>
      </c>
      <c r="D272" s="10">
        <v>60</v>
      </c>
    </row>
    <row r="273" spans="1:4" x14ac:dyDescent="0.25">
      <c r="A273" s="2" t="str">
        <f>"3.1.6.00.14- Contrib.entid.classe"</f>
        <v>3.1.6.00.14- Contrib.entid.classe</v>
      </c>
      <c r="B273" s="10">
        <v>81742.080000000002</v>
      </c>
      <c r="C273" s="10">
        <v>0</v>
      </c>
      <c r="D273" s="10">
        <v>81742.080000000002</v>
      </c>
    </row>
    <row r="274" spans="1:4" x14ac:dyDescent="0.25">
      <c r="A274" s="2" t="str">
        <f>"3.1.6.00.15- INSS Serv.terceiros"</f>
        <v>3.1.6.00.15- INSS Serv.terceiros</v>
      </c>
      <c r="B274" s="10">
        <v>18023.59</v>
      </c>
      <c r="C274" s="10">
        <v>0</v>
      </c>
      <c r="D274" s="10">
        <v>18023.59</v>
      </c>
    </row>
    <row r="275" spans="1:4" x14ac:dyDescent="0.25">
      <c r="A275" s="2" t="str">
        <f>"3.1.6.00.17- PIS s/ receitas financeiras"</f>
        <v>3.1.6.00.17- PIS s/ receitas financeiras</v>
      </c>
      <c r="B275" s="10">
        <v>4163.33</v>
      </c>
      <c r="C275" s="10">
        <v>649.91</v>
      </c>
      <c r="D275" s="10">
        <v>4813.24</v>
      </c>
    </row>
    <row r="276" spans="1:4" x14ac:dyDescent="0.25">
      <c r="A276" s="2" t="str">
        <f>"3.1.6.00.18- Cofins s/ receitas financeiras"</f>
        <v>3.1.6.00.18- Cofins s/ receitas financeiras</v>
      </c>
      <c r="B276" s="10">
        <v>25620.54</v>
      </c>
      <c r="C276" s="10">
        <v>3999.46</v>
      </c>
      <c r="D276" s="10">
        <v>29620</v>
      </c>
    </row>
    <row r="277" spans="1:4" x14ac:dyDescent="0.25">
      <c r="A277" s="2" t="str">
        <f>"3.1.7.00.00- DESPESAS FINANCEIRAS"</f>
        <v>3.1.7.00.00- DESPESAS FINANCEIRAS</v>
      </c>
      <c r="B277" s="10">
        <v>24847.48</v>
      </c>
      <c r="C277" s="10">
        <v>1957.99</v>
      </c>
      <c r="D277" s="10">
        <v>26805.47</v>
      </c>
    </row>
    <row r="278" spans="1:4" x14ac:dyDescent="0.25">
      <c r="A278" s="2" t="str">
        <f>"3.1.7.01.01- Juros passivos curto prazo"</f>
        <v>3.1.7.01.01- Juros passivos curto prazo</v>
      </c>
      <c r="B278" s="10">
        <v>61.07</v>
      </c>
      <c r="C278" s="10">
        <v>0</v>
      </c>
      <c r="D278" s="10">
        <v>61.07</v>
      </c>
    </row>
    <row r="279" spans="1:4" x14ac:dyDescent="0.25">
      <c r="A279" s="2" t="str">
        <f>"3.1.7.01.02- Despesas bancarias"</f>
        <v>3.1.7.01.02- Despesas bancarias</v>
      </c>
      <c r="B279" s="10">
        <v>24786.41</v>
      </c>
      <c r="C279" s="10">
        <v>1957.99</v>
      </c>
      <c r="D279" s="10">
        <v>26744.400000000001</v>
      </c>
    </row>
    <row r="280" spans="1:4" x14ac:dyDescent="0.25">
      <c r="A280" s="2" t="str">
        <f>"3.1.8.00.00- OUTRAS DESPESAS"</f>
        <v>3.1.8.00.00- OUTRAS DESPESAS</v>
      </c>
      <c r="B280" s="10">
        <v>1143226.55</v>
      </c>
      <c r="C280" s="10">
        <v>132287.78</v>
      </c>
      <c r="D280" s="10">
        <v>1275514.33</v>
      </c>
    </row>
    <row r="281" spans="1:4" x14ac:dyDescent="0.25">
      <c r="A281" s="2" t="str">
        <f>"3.1.8.00.01- Despesas de viagem"</f>
        <v>3.1.8.00.01- Despesas de viagem</v>
      </c>
      <c r="B281" s="10">
        <v>65734.36</v>
      </c>
      <c r="C281" s="10">
        <v>7085.95</v>
      </c>
      <c r="D281" s="10">
        <v>72820.31</v>
      </c>
    </row>
    <row r="282" spans="1:4" x14ac:dyDescent="0.25">
      <c r="A282" s="2" t="str">
        <f>"3.1.8.00.05- Depreciacao/amort"</f>
        <v>3.1.8.00.05- Depreciacao/amort</v>
      </c>
      <c r="B282" s="10">
        <v>224683.75</v>
      </c>
      <c r="C282" s="10">
        <v>22179.95</v>
      </c>
      <c r="D282" s="10">
        <v>246863.7</v>
      </c>
    </row>
    <row r="283" spans="1:4" x14ac:dyDescent="0.25">
      <c r="A283" s="2" t="str">
        <f>"3.1.8.00.06- Seguros bens moveis e imoveis"</f>
        <v>3.1.8.00.06- Seguros bens moveis e imoveis</v>
      </c>
      <c r="B283" s="10">
        <v>10857.09</v>
      </c>
      <c r="C283" s="10">
        <v>1159</v>
      </c>
      <c r="D283" s="10">
        <v>12016.09</v>
      </c>
    </row>
    <row r="284" spans="1:4" x14ac:dyDescent="0.25">
      <c r="A284" s="2" t="str">
        <f>"3.1.8.00.08- Alugueis e condominio"</f>
        <v>3.1.8.00.08- Alugueis e condominio</v>
      </c>
      <c r="B284" s="10">
        <v>50718.1</v>
      </c>
      <c r="C284" s="10">
        <v>5071.8100000000004</v>
      </c>
      <c r="D284" s="10">
        <v>55789.91</v>
      </c>
    </row>
    <row r="285" spans="1:4" x14ac:dyDescent="0.25">
      <c r="A285" s="2" t="str">
        <f>"3.1.8.00.12- Acoes judiciais terceiros"</f>
        <v>3.1.8.00.12- Acoes judiciais terceiros</v>
      </c>
      <c r="B285" s="10">
        <v>9283.2999999999993</v>
      </c>
      <c r="C285" s="10">
        <v>0</v>
      </c>
      <c r="D285" s="10">
        <v>9283.2999999999993</v>
      </c>
    </row>
    <row r="286" spans="1:4" x14ac:dyDescent="0.25">
      <c r="A286" s="2" t="str">
        <f>"3.1.8.00.16- Baixa de imobilizado"</f>
        <v>3.1.8.00.16- Baixa de imobilizado</v>
      </c>
      <c r="B286" s="10">
        <v>4339.8999999999996</v>
      </c>
      <c r="C286" s="10">
        <v>1479.32</v>
      </c>
      <c r="D286" s="10">
        <v>5819.22</v>
      </c>
    </row>
    <row r="287" spans="1:4" x14ac:dyDescent="0.25">
      <c r="A287" s="2" t="str">
        <f>"3.1.8.00.17- Gastos com eventos e promocoes"</f>
        <v>3.1.8.00.17- Gastos com eventos e promocoes</v>
      </c>
      <c r="B287" s="10">
        <v>293193.3</v>
      </c>
      <c r="C287" s="10">
        <v>11495</v>
      </c>
      <c r="D287" s="10">
        <v>304688.3</v>
      </c>
    </row>
    <row r="288" spans="1:4" x14ac:dyDescent="0.25">
      <c r="A288" s="2" t="str">
        <f>"3.1.8.00.18- Provisao para perdas"</f>
        <v>3.1.8.00.18- Provisao para perdas</v>
      </c>
      <c r="B288" s="10">
        <v>411447.53</v>
      </c>
      <c r="C288" s="10">
        <v>73854.55</v>
      </c>
      <c r="D288" s="10">
        <v>485302.08</v>
      </c>
    </row>
    <row r="289" spans="1:4" x14ac:dyDescent="0.25">
      <c r="A289" s="2" t="str">
        <f>"3.1.8.00.23- Custas/Despesas Judiciais"</f>
        <v>3.1.8.00.23- Custas/Despesas Judiciais</v>
      </c>
      <c r="B289" s="10">
        <v>72396.13</v>
      </c>
      <c r="C289" s="10">
        <v>9657.84</v>
      </c>
      <c r="D289" s="10">
        <v>82053.97</v>
      </c>
    </row>
    <row r="290" spans="1:4" x14ac:dyDescent="0.25">
      <c r="A290" s="2" t="str">
        <f>"3.1.8.00.99- Despesas diversas"</f>
        <v>3.1.8.00.99- Despesas diversas</v>
      </c>
      <c r="B290" s="10">
        <v>573.09</v>
      </c>
      <c r="C290" s="10">
        <v>304.36</v>
      </c>
      <c r="D290" s="10">
        <v>877.45</v>
      </c>
    </row>
    <row r="291" spans="1:4" x14ac:dyDescent="0.25">
      <c r="A291" s="2" t="str">
        <f>""</f>
        <v/>
      </c>
      <c r="B291" s="3" t="str">
        <f>""</f>
        <v/>
      </c>
      <c r="C291" s="3" t="str">
        <f>""</f>
        <v/>
      </c>
      <c r="D291" s="3" t="str">
        <f>""</f>
        <v/>
      </c>
    </row>
    <row r="292" spans="1:4" x14ac:dyDescent="0.25">
      <c r="A292" s="2" t="str">
        <f>""</f>
        <v/>
      </c>
      <c r="B292" s="3" t="str">
        <f>""</f>
        <v/>
      </c>
      <c r="C292" s="3" t="str">
        <f>""</f>
        <v/>
      </c>
      <c r="D292" s="3" t="str">
        <f>""</f>
        <v/>
      </c>
    </row>
    <row r="293" spans="1:4" x14ac:dyDescent="0.25">
      <c r="A293" s="2" t="str">
        <f>""</f>
        <v/>
      </c>
      <c r="B293" s="3" t="str">
        <f>""</f>
        <v/>
      </c>
      <c r="C293" s="3" t="str">
        <f>""</f>
        <v/>
      </c>
      <c r="D293" s="3" t="str">
        <f>""</f>
        <v/>
      </c>
    </row>
    <row r="294" spans="1:4" x14ac:dyDescent="0.25">
      <c r="A294" s="2" t="str">
        <f>""</f>
        <v/>
      </c>
      <c r="B294" s="3" t="str">
        <f>""</f>
        <v/>
      </c>
      <c r="C294" s="3" t="str">
        <f>""</f>
        <v/>
      </c>
      <c r="D294" s="3" t="str">
        <f>""</f>
        <v/>
      </c>
    </row>
    <row r="295" spans="1:4" x14ac:dyDescent="0.25">
      <c r="A295" s="2" t="str">
        <f>""</f>
        <v/>
      </c>
      <c r="B295" s="3" t="str">
        <f>""</f>
        <v/>
      </c>
      <c r="C295" s="3" t="str">
        <f>""</f>
        <v/>
      </c>
      <c r="D295" s="3" t="str">
        <f>""</f>
        <v/>
      </c>
    </row>
    <row r="296" spans="1:4" x14ac:dyDescent="0.25">
      <c r="A296" s="2" t="str">
        <f>""</f>
        <v/>
      </c>
      <c r="B296" s="3" t="str">
        <f>""</f>
        <v/>
      </c>
      <c r="C296" s="3" t="str">
        <f>""</f>
        <v/>
      </c>
      <c r="D296" s="3" t="str">
        <f>""</f>
        <v/>
      </c>
    </row>
    <row r="297" spans="1:4" x14ac:dyDescent="0.25">
      <c r="A297" s="2" t="str">
        <f>""</f>
        <v/>
      </c>
      <c r="B297" s="3" t="str">
        <f>""</f>
        <v/>
      </c>
      <c r="C297" s="3" t="str">
        <f>""</f>
        <v/>
      </c>
      <c r="D297" s="3" t="str">
        <f>""</f>
        <v/>
      </c>
    </row>
    <row r="298" spans="1:4" x14ac:dyDescent="0.25">
      <c r="A298" s="2" t="str">
        <f>""</f>
        <v/>
      </c>
      <c r="B298" s="3" t="str">
        <f>""</f>
        <v/>
      </c>
      <c r="C298" s="3" t="str">
        <f>""</f>
        <v/>
      </c>
      <c r="D298" s="3" t="str">
        <f>""</f>
        <v/>
      </c>
    </row>
    <row r="299" spans="1:4" x14ac:dyDescent="0.25">
      <c r="A299" s="2" t="str">
        <f>""</f>
        <v/>
      </c>
      <c r="B299" s="3" t="str">
        <f>""</f>
        <v/>
      </c>
      <c r="C299" s="3" t="str">
        <f>""</f>
        <v/>
      </c>
      <c r="D299" s="3" t="str">
        <f>""</f>
        <v/>
      </c>
    </row>
    <row r="300" spans="1:4" x14ac:dyDescent="0.25">
      <c r="A300" s="2" t="str">
        <f>""</f>
        <v/>
      </c>
      <c r="B300" s="3" t="str">
        <f>""</f>
        <v/>
      </c>
      <c r="C300" s="3" t="str">
        <f>""</f>
        <v/>
      </c>
      <c r="D300" s="3" t="str">
        <f>""</f>
        <v/>
      </c>
    </row>
    <row r="301" spans="1:4" x14ac:dyDescent="0.25">
      <c r="A301" s="2" t="str">
        <f>"RECEITAS"</f>
        <v>RECEITAS</v>
      </c>
      <c r="B301" s="3" t="str">
        <f>""</f>
        <v/>
      </c>
      <c r="C301" s="3" t="str">
        <f>""</f>
        <v/>
      </c>
      <c r="D301" s="3" t="str">
        <f>""</f>
        <v/>
      </c>
    </row>
    <row r="302" spans="1:4" x14ac:dyDescent="0.25">
      <c r="A302" s="2" t="str">
        <f>"4.0.0.00.00- RECEITAS"</f>
        <v>4.0.0.00.00- RECEITAS</v>
      </c>
      <c r="B302" s="10">
        <v>124935409.14</v>
      </c>
      <c r="C302" s="10">
        <v>14927985.460000001</v>
      </c>
      <c r="D302" s="10">
        <v>139863394.59999999</v>
      </c>
    </row>
    <row r="303" spans="1:4" x14ac:dyDescent="0.25">
      <c r="A303" s="2" t="str">
        <f>"4.1.0.00.00- RECEITAS BHTRANS"</f>
        <v>4.1.0.00.00- RECEITAS BHTRANS</v>
      </c>
      <c r="B303" s="10">
        <v>123055850.90000001</v>
      </c>
      <c r="C303" s="10">
        <v>14750122.08</v>
      </c>
      <c r="D303" s="10">
        <v>137805972.97999999</v>
      </c>
    </row>
    <row r="304" spans="1:4" x14ac:dyDescent="0.25">
      <c r="A304" s="2" t="str">
        <f>"4.1.1.00.00- RECEITAS OPERACIONAIS"</f>
        <v>4.1.1.00.00- RECEITAS OPERACIONAIS</v>
      </c>
      <c r="B304" s="10">
        <v>122485860.31</v>
      </c>
      <c r="C304" s="10">
        <v>14695125.300000001</v>
      </c>
      <c r="D304" s="10">
        <v>137180985.61000001</v>
      </c>
    </row>
    <row r="305" spans="1:4" x14ac:dyDescent="0.25">
      <c r="A305" s="2" t="str">
        <f>"4.1.1.00.05- Midia taxi, escolar e suplementar"</f>
        <v>4.1.1.00.05- Midia taxi, escolar e suplementar</v>
      </c>
      <c r="B305" s="10">
        <v>39166.99</v>
      </c>
      <c r="C305" s="10">
        <v>3397.98</v>
      </c>
      <c r="D305" s="10">
        <v>42564.97</v>
      </c>
    </row>
    <row r="306" spans="1:4" x14ac:dyDescent="0.25">
      <c r="A306" s="2" t="str">
        <f>"4.1.1.00.06- Midia em onibus"</f>
        <v>4.1.1.00.06- Midia em onibus</v>
      </c>
      <c r="B306" s="10">
        <v>600393.39</v>
      </c>
      <c r="C306" s="10">
        <v>73817.31</v>
      </c>
      <c r="D306" s="10">
        <v>674210.7</v>
      </c>
    </row>
    <row r="307" spans="1:4" x14ac:dyDescent="0.25">
      <c r="A307" s="2" t="str">
        <f>"4.1.1.00.07- Midias diversas"</f>
        <v>4.1.1.00.07- Midias diversas</v>
      </c>
      <c r="B307" s="10">
        <v>83882.37</v>
      </c>
      <c r="C307" s="10">
        <v>7625.67</v>
      </c>
      <c r="D307" s="10">
        <v>91508.04</v>
      </c>
    </row>
    <row r="308" spans="1:4" x14ac:dyDescent="0.25">
      <c r="A308" s="2" t="str">
        <f>"4.1.1.00.08- Estacionamento Rotativo"</f>
        <v>4.1.1.00.08- Estacionamento Rotativo</v>
      </c>
      <c r="B308" s="10">
        <v>15019290.15</v>
      </c>
      <c r="C308" s="10">
        <v>1589982</v>
      </c>
      <c r="D308" s="10">
        <v>16609272.15</v>
      </c>
    </row>
    <row r="309" spans="1:4" x14ac:dyDescent="0.25">
      <c r="A309" s="2" t="str">
        <f>"4.1.1.00.10- Transf. financeira PBH"</f>
        <v>4.1.1.00.10- Transf. financeira PBH</v>
      </c>
      <c r="B309" s="10">
        <v>100918482.28</v>
      </c>
      <c r="C309" s="10">
        <v>12155781.869999999</v>
      </c>
      <c r="D309" s="10">
        <v>113074264.15000001</v>
      </c>
    </row>
    <row r="310" spans="1:4" x14ac:dyDescent="0.25">
      <c r="A310" s="2" t="str">
        <f>"4.1.1.00.16- Multas transporte coletivo"</f>
        <v>4.1.1.00.16- Multas transporte coletivo</v>
      </c>
      <c r="B310" s="10">
        <v>4114475.32</v>
      </c>
      <c r="C310" s="10">
        <v>738545.45</v>
      </c>
      <c r="D310" s="10">
        <v>4853020.7699999996</v>
      </c>
    </row>
    <row r="311" spans="1:4" x14ac:dyDescent="0.25">
      <c r="A311" s="2" t="str">
        <f>"4.1.1.00.17- Multas transporte publico"</f>
        <v>4.1.1.00.17- Multas transporte publico</v>
      </c>
      <c r="B311" s="10">
        <v>1272158.25</v>
      </c>
      <c r="C311" s="10">
        <v>107710.78</v>
      </c>
      <c r="D311" s="10">
        <v>1379869.03</v>
      </c>
    </row>
    <row r="312" spans="1:4" x14ac:dyDescent="0.25">
      <c r="A312" s="2" t="str">
        <f>"4.1.1.00.19- Subconcessao frotas de taxi"</f>
        <v>4.1.1.00.19- Subconcessao frotas de taxi</v>
      </c>
      <c r="B312" s="10">
        <v>438011.56</v>
      </c>
      <c r="C312" s="10">
        <v>18264.240000000002</v>
      </c>
      <c r="D312" s="10">
        <v>456275.8</v>
      </c>
    </row>
    <row r="313" spans="1:4" x14ac:dyDescent="0.25">
      <c r="A313" s="2" t="str">
        <f>"4.1.8.00.00- RECEITAS ALUGUEIS ESTACOES"</f>
        <v>4.1.8.00.00- RECEITAS ALUGUEIS ESTACOES</v>
      </c>
      <c r="B313" s="10">
        <v>569990.59</v>
      </c>
      <c r="C313" s="10">
        <v>54996.78</v>
      </c>
      <c r="D313" s="10">
        <v>624987.37</v>
      </c>
    </row>
    <row r="314" spans="1:4" x14ac:dyDescent="0.25">
      <c r="A314" s="2" t="str">
        <f>"4.1.8.00.01- Alugueis Estacoes"</f>
        <v>4.1.8.00.01- Alugueis Estacoes</v>
      </c>
      <c r="B314" s="10">
        <v>569990.59</v>
      </c>
      <c r="C314" s="10">
        <v>54996.78</v>
      </c>
      <c r="D314" s="10">
        <v>624987.37</v>
      </c>
    </row>
    <row r="315" spans="1:4" x14ac:dyDescent="0.25">
      <c r="A315" s="2" t="str">
        <f>"4.2.0.00.00- RECEITAS FINANCEIRAS"</f>
        <v>4.2.0.00.00- RECEITAS FINANCEIRAS</v>
      </c>
      <c r="B315" s="10">
        <v>640513.4</v>
      </c>
      <c r="C315" s="10">
        <v>99986.58</v>
      </c>
      <c r="D315" s="10">
        <v>740499.98</v>
      </c>
    </row>
    <row r="316" spans="1:4" x14ac:dyDescent="0.25">
      <c r="A316" s="2" t="str">
        <f>"4.2.1.00.00- RECEITAS FINANCEIRAS"</f>
        <v>4.2.1.00.00- RECEITAS FINANCEIRAS</v>
      </c>
      <c r="B316" s="10">
        <v>639615.74</v>
      </c>
      <c r="C316" s="10">
        <v>99925.81</v>
      </c>
      <c r="D316" s="10">
        <v>739541.55</v>
      </c>
    </row>
    <row r="317" spans="1:4" x14ac:dyDescent="0.25">
      <c r="A317" s="2" t="str">
        <f>"4.2.1.00.01- Rendimentos aplic. Financeira"</f>
        <v>4.2.1.00.01- Rendimentos aplic. Financeira</v>
      </c>
      <c r="B317" s="10">
        <v>537483.64</v>
      </c>
      <c r="C317" s="10">
        <v>68078.460000000006</v>
      </c>
      <c r="D317" s="10">
        <v>605562.1</v>
      </c>
    </row>
    <row r="318" spans="1:4" x14ac:dyDescent="0.25">
      <c r="A318" s="2" t="str">
        <f>"4.2.1.00.02- Juros ativos"</f>
        <v>4.2.1.00.02- Juros ativos</v>
      </c>
      <c r="B318" s="10">
        <v>2132.1</v>
      </c>
      <c r="C318" s="10">
        <v>0</v>
      </c>
      <c r="D318" s="10">
        <v>2132.1</v>
      </c>
    </row>
    <row r="319" spans="1:4" x14ac:dyDescent="0.25">
      <c r="A319" s="2" t="str">
        <f>"4.2.1.00.05- Receitas Financeiras - Convênio"</f>
        <v>4.2.1.00.05- Receitas Financeiras - Convênio</v>
      </c>
      <c r="B319" s="10">
        <v>100000</v>
      </c>
      <c r="C319" s="10">
        <v>31847.35</v>
      </c>
      <c r="D319" s="10">
        <v>131847.35</v>
      </c>
    </row>
    <row r="320" spans="1:4" x14ac:dyDescent="0.25">
      <c r="A320" s="2" t="str">
        <f>"4.2.2.00.00- VARIACOES MONETARIAS ATIVAS"</f>
        <v>4.2.2.00.00- VARIACOES MONETARIAS ATIVAS</v>
      </c>
      <c r="B320" s="10">
        <v>897.66</v>
      </c>
      <c r="C320" s="10">
        <v>60.77</v>
      </c>
      <c r="D320" s="10">
        <v>958.43</v>
      </c>
    </row>
    <row r="321" spans="1:4" x14ac:dyDescent="0.25">
      <c r="A321" s="2" t="str">
        <f>"4.2.2.00.01- Variações monetárias ativas"</f>
        <v>4.2.2.00.01- Variações monetárias ativas</v>
      </c>
      <c r="B321" s="10">
        <v>897.66</v>
      </c>
      <c r="C321" s="10">
        <v>60.77</v>
      </c>
      <c r="D321" s="10">
        <v>958.43</v>
      </c>
    </row>
    <row r="322" spans="1:4" x14ac:dyDescent="0.25">
      <c r="A322" s="2" t="str">
        <f>"4.3.0.00.00- OUTRAS RECEITAS"</f>
        <v>4.3.0.00.00- OUTRAS RECEITAS</v>
      </c>
      <c r="B322" s="10">
        <v>1239044.8400000001</v>
      </c>
      <c r="C322" s="10">
        <v>77876.800000000003</v>
      </c>
      <c r="D322" s="10">
        <v>1316921.6399999999</v>
      </c>
    </row>
    <row r="323" spans="1:4" x14ac:dyDescent="0.25">
      <c r="A323" s="2" t="str">
        <f>"4.3.1.00.00- OUTRAS RECEITAS"</f>
        <v>4.3.1.00.00- OUTRAS RECEITAS</v>
      </c>
      <c r="B323" s="10">
        <v>1239044.8400000001</v>
      </c>
      <c r="C323" s="10">
        <v>77876.800000000003</v>
      </c>
      <c r="D323" s="10">
        <v>1316921.6399999999</v>
      </c>
    </row>
    <row r="324" spans="1:4" x14ac:dyDescent="0.25">
      <c r="A324" s="2" t="str">
        <f>"4.3.1.00.04- Receitas Diversas"</f>
        <v>4.3.1.00.04- Receitas Diversas</v>
      </c>
      <c r="B324" s="10">
        <v>733071.49</v>
      </c>
      <c r="C324" s="10">
        <v>46372.39</v>
      </c>
      <c r="D324" s="10">
        <v>779443.88</v>
      </c>
    </row>
    <row r="325" spans="1:4" x14ac:dyDescent="0.25">
      <c r="A325" s="2" t="str">
        <f>"4.3.1.00.05- Ganhos ou perdas de Capital"</f>
        <v>4.3.1.00.05- Ganhos ou perdas de Capital</v>
      </c>
      <c r="B325" s="10">
        <v>9840</v>
      </c>
      <c r="C325" s="10">
        <v>0</v>
      </c>
      <c r="D325" s="10">
        <v>9840</v>
      </c>
    </row>
    <row r="326" spans="1:4" x14ac:dyDescent="0.25">
      <c r="A326" s="2" t="str">
        <f>"4.3.1.00.07- Concessão de Abrigo de ônibus"</f>
        <v>4.3.1.00.07- Concessão de Abrigo de ônibus</v>
      </c>
      <c r="B326" s="10">
        <v>496133.35</v>
      </c>
      <c r="C326" s="10">
        <v>31504.41</v>
      </c>
      <c r="D326" s="10">
        <v>527637.76000000001</v>
      </c>
    </row>
    <row r="327" spans="1:4" x14ac:dyDescent="0.25">
      <c r="A327" s="2" t="str">
        <f>""</f>
        <v/>
      </c>
      <c r="B327" s="3" t="str">
        <f>""</f>
        <v/>
      </c>
      <c r="C327" s="3" t="str">
        <f>""</f>
        <v/>
      </c>
      <c r="D327" s="3" t="str">
        <f>""</f>
        <v/>
      </c>
    </row>
    <row r="328" spans="1:4" x14ac:dyDescent="0.25">
      <c r="A328" s="2" t="str">
        <f>""</f>
        <v/>
      </c>
      <c r="B328" s="3" t="str">
        <f>""</f>
        <v/>
      </c>
      <c r="C328" s="3" t="str">
        <f>""</f>
        <v/>
      </c>
      <c r="D328" s="3" t="str">
        <f>""</f>
        <v/>
      </c>
    </row>
    <row r="329" spans="1:4" x14ac:dyDescent="0.25">
      <c r="A329" s="2" t="str">
        <f>""</f>
        <v/>
      </c>
      <c r="B329" s="3" t="str">
        <f>""</f>
        <v/>
      </c>
      <c r="C329" s="3" t="str">
        <f>""</f>
        <v/>
      </c>
      <c r="D329" s="3" t="str">
        <f>""</f>
        <v/>
      </c>
    </row>
    <row r="330" spans="1:4" x14ac:dyDescent="0.25">
      <c r="A330" s="2" t="str">
        <f>""</f>
        <v/>
      </c>
      <c r="B330" s="3" t="str">
        <f>""</f>
        <v/>
      </c>
      <c r="C330" s="3" t="str">
        <f>""</f>
        <v/>
      </c>
      <c r="D330" s="3" t="str">
        <f>""</f>
        <v/>
      </c>
    </row>
    <row r="331" spans="1:4" x14ac:dyDescent="0.25">
      <c r="A331" s="2" t="str">
        <f>""</f>
        <v/>
      </c>
      <c r="B331" s="3" t="str">
        <f>""</f>
        <v/>
      </c>
      <c r="C331" s="3" t="str">
        <f>""</f>
        <v/>
      </c>
      <c r="D331" s="3" t="str">
        <f>""</f>
        <v/>
      </c>
    </row>
    <row r="332" spans="1:4" x14ac:dyDescent="0.25">
      <c r="A332" s="2" t="str">
        <f>""</f>
        <v/>
      </c>
      <c r="B332" s="3" t="str">
        <f>""</f>
        <v/>
      </c>
      <c r="C332" s="3" t="str">
        <f>""</f>
        <v/>
      </c>
      <c r="D332" s="3" t="str">
        <f>""</f>
        <v/>
      </c>
    </row>
    <row r="333" spans="1:4" x14ac:dyDescent="0.25">
      <c r="A333" s="2" t="str">
        <f>""</f>
        <v/>
      </c>
      <c r="B333" s="3" t="str">
        <f>""</f>
        <v/>
      </c>
      <c r="C333" s="3" t="str">
        <f>""</f>
        <v/>
      </c>
      <c r="D333" s="3" t="str">
        <f>""</f>
        <v/>
      </c>
    </row>
    <row r="334" spans="1:4" x14ac:dyDescent="0.25">
      <c r="A334" s="2" t="str">
        <f>""</f>
        <v/>
      </c>
      <c r="B334" s="3" t="str">
        <f>""</f>
        <v/>
      </c>
      <c r="C334" s="3" t="str">
        <f>""</f>
        <v/>
      </c>
      <c r="D334" s="3" t="str">
        <f>""</f>
        <v/>
      </c>
    </row>
    <row r="335" spans="1:4" x14ac:dyDescent="0.25">
      <c r="A335" s="2" t="str">
        <f>""</f>
        <v/>
      </c>
      <c r="B335" s="3" t="str">
        <f>""</f>
        <v/>
      </c>
      <c r="C335" s="3" t="str">
        <f>""</f>
        <v/>
      </c>
      <c r="D335" s="3" t="str">
        <f>""</f>
        <v/>
      </c>
    </row>
    <row r="336" spans="1:4" x14ac:dyDescent="0.25">
      <c r="A336" s="2" t="str">
        <f>""</f>
        <v/>
      </c>
      <c r="B336" s="3" t="str">
        <f>""</f>
        <v/>
      </c>
      <c r="C336" s="3" t="str">
        <f>""</f>
        <v/>
      </c>
      <c r="D336" s="3" t="str">
        <f>""</f>
        <v/>
      </c>
    </row>
    <row r="337" spans="1:4" x14ac:dyDescent="0.25">
      <c r="A337" s="2" t="str">
        <f>""</f>
        <v/>
      </c>
      <c r="B337" s="3" t="str">
        <f>""</f>
        <v/>
      </c>
      <c r="C337" s="3" t="str">
        <f>""</f>
        <v/>
      </c>
      <c r="D337" s="3" t="str">
        <f>""</f>
        <v/>
      </c>
    </row>
    <row r="338" spans="1:4" x14ac:dyDescent="0.25">
      <c r="A338" s="2" t="str">
        <f>""</f>
        <v/>
      </c>
      <c r="B338" s="3" t="str">
        <f>""</f>
        <v/>
      </c>
      <c r="C338" s="3" t="str">
        <f>""</f>
        <v/>
      </c>
      <c r="D338" s="3" t="str">
        <f>""</f>
        <v/>
      </c>
    </row>
    <row r="339" spans="1:4" x14ac:dyDescent="0.25">
      <c r="A339" s="2" t="str">
        <f>""</f>
        <v/>
      </c>
      <c r="B339" s="3" t="str">
        <f>""</f>
        <v/>
      </c>
      <c r="C339" s="3" t="str">
        <f>""</f>
        <v/>
      </c>
      <c r="D339" s="3" t="str">
        <f>""</f>
        <v/>
      </c>
    </row>
    <row r="340" spans="1:4" x14ac:dyDescent="0.25">
      <c r="A340" s="2" t="str">
        <f>""</f>
        <v/>
      </c>
      <c r="B340" s="3" t="str">
        <f>""</f>
        <v/>
      </c>
      <c r="C340" s="3" t="str">
        <f>""</f>
        <v/>
      </c>
      <c r="D340" s="3" t="str">
        <f>""</f>
        <v/>
      </c>
    </row>
    <row r="341" spans="1:4" x14ac:dyDescent="0.25">
      <c r="A341" s="2" t="str">
        <f>""</f>
        <v/>
      </c>
      <c r="B341" s="3" t="str">
        <f>""</f>
        <v/>
      </c>
      <c r="C341" s="3" t="str">
        <f>""</f>
        <v/>
      </c>
      <c r="D341" s="3" t="str">
        <f>""</f>
        <v/>
      </c>
    </row>
    <row r="342" spans="1:4" x14ac:dyDescent="0.25">
      <c r="A342" s="2" t="str">
        <f>""</f>
        <v/>
      </c>
      <c r="B342" s="3" t="str">
        <f>""</f>
        <v/>
      </c>
      <c r="C342" s="3" t="str">
        <f>""</f>
        <v/>
      </c>
      <c r="D342" s="3" t="str">
        <f>""</f>
        <v/>
      </c>
    </row>
    <row r="343" spans="1:4" x14ac:dyDescent="0.25">
      <c r="A343" s="2" t="str">
        <f>""</f>
        <v/>
      </c>
      <c r="B343" s="3" t="str">
        <f>""</f>
        <v/>
      </c>
      <c r="C343" s="3" t="str">
        <f>""</f>
        <v/>
      </c>
      <c r="D343" s="3" t="str">
        <f>""</f>
        <v/>
      </c>
    </row>
    <row r="344" spans="1:4" x14ac:dyDescent="0.25">
      <c r="A344" s="2" t="str">
        <f>""</f>
        <v/>
      </c>
      <c r="B344" s="3" t="str">
        <f>""</f>
        <v/>
      </c>
      <c r="C344" s="3" t="str">
        <f>""</f>
        <v/>
      </c>
      <c r="D344" s="3" t="str">
        <f>""</f>
        <v/>
      </c>
    </row>
    <row r="345" spans="1:4" x14ac:dyDescent="0.25">
      <c r="A345" s="2" t="str">
        <f>""</f>
        <v/>
      </c>
      <c r="B345" s="3" t="str">
        <f>""</f>
        <v/>
      </c>
      <c r="C345" s="3" t="str">
        <f>""</f>
        <v/>
      </c>
      <c r="D345" s="3" t="str">
        <f>""</f>
        <v/>
      </c>
    </row>
    <row r="346" spans="1:4" x14ac:dyDescent="0.25">
      <c r="A346" s="2" t="str">
        <f>""</f>
        <v/>
      </c>
      <c r="B346" s="3" t="str">
        <f>""</f>
        <v/>
      </c>
      <c r="C346" s="3" t="str">
        <f>""</f>
        <v/>
      </c>
      <c r="D346" s="3" t="str">
        <f>""</f>
        <v/>
      </c>
    </row>
    <row r="347" spans="1:4" x14ac:dyDescent="0.25">
      <c r="A347" s="2" t="str">
        <f>""</f>
        <v/>
      </c>
      <c r="B347" s="3" t="str">
        <f>""</f>
        <v/>
      </c>
      <c r="C347" s="3" t="str">
        <f>""</f>
        <v/>
      </c>
      <c r="D347" s="3" t="str">
        <f>""</f>
        <v/>
      </c>
    </row>
    <row r="348" spans="1:4" x14ac:dyDescent="0.25">
      <c r="A348" s="2" t="str">
        <f>""</f>
        <v/>
      </c>
      <c r="B348" s="3" t="str">
        <f>""</f>
        <v/>
      </c>
      <c r="C348" s="3" t="str">
        <f>""</f>
        <v/>
      </c>
      <c r="D348" s="3" t="str">
        <f>""</f>
        <v/>
      </c>
    </row>
    <row r="349" spans="1:4" x14ac:dyDescent="0.25">
      <c r="A349" s="2" t="str">
        <f>""</f>
        <v/>
      </c>
      <c r="B349" s="3" t="str">
        <f>""</f>
        <v/>
      </c>
      <c r="C349" s="3" t="str">
        <f>""</f>
        <v/>
      </c>
      <c r="D349" s="3" t="str">
        <f>""</f>
        <v/>
      </c>
    </row>
    <row r="350" spans="1:4" x14ac:dyDescent="0.25">
      <c r="A350" s="2" t="str">
        <f>""</f>
        <v/>
      </c>
      <c r="B350" s="3" t="str">
        <f>""</f>
        <v/>
      </c>
      <c r="C350" s="3" t="str">
        <f>""</f>
        <v/>
      </c>
      <c r="D350" s="3" t="str">
        <f>""</f>
        <v/>
      </c>
    </row>
    <row r="351" spans="1:4" ht="15.75" thickBot="1" x14ac:dyDescent="0.3">
      <c r="A351" s="4" t="str">
        <f>"APURACAO DE RESULTADOS"</f>
        <v>APURACAO DE RESULTADOS</v>
      </c>
      <c r="B351" s="5" t="str">
        <f>""</f>
        <v/>
      </c>
      <c r="C351" s="5" t="str">
        <f>""</f>
        <v/>
      </c>
      <c r="D351" s="5" t="str">
        <f>""</f>
        <v/>
      </c>
    </row>
    <row r="352" spans="1:4" x14ac:dyDescent="0.25">
      <c r="A352" t="s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2"/>
  <sheetViews>
    <sheetView workbookViewId="0">
      <selection activeCell="E1" sqref="E1"/>
    </sheetView>
  </sheetViews>
  <sheetFormatPr defaultRowHeight="15" x14ac:dyDescent="0.25"/>
  <cols>
    <col min="1" max="1" width="71.5703125" bestFit="1" customWidth="1"/>
    <col min="2" max="2" width="14.5703125" bestFit="1" customWidth="1"/>
    <col min="3" max="3" width="14.28515625" bestFit="1" customWidth="1"/>
    <col min="4" max="4" width="14.5703125" bestFit="1" customWidth="1"/>
  </cols>
  <sheetData>
    <row r="1" spans="1:4" ht="19.5" thickBot="1" x14ac:dyDescent="0.35">
      <c r="A1" s="1" t="s">
        <v>12</v>
      </c>
      <c r="B1" s="1"/>
      <c r="C1" s="1"/>
      <c r="D1" s="1"/>
    </row>
    <row r="2" spans="1:4" ht="15.75" thickBot="1" x14ac:dyDescent="0.3">
      <c r="A2" s="8" t="s">
        <v>13</v>
      </c>
      <c r="B2" s="9" t="s">
        <v>14</v>
      </c>
      <c r="C2" s="9" t="s">
        <v>15</v>
      </c>
      <c r="D2" s="9" t="s">
        <v>16</v>
      </c>
    </row>
    <row r="3" spans="1:4" x14ac:dyDescent="0.25">
      <c r="A3" s="6" t="str">
        <f>"ATIVO"</f>
        <v>ATIVO</v>
      </c>
      <c r="B3" s="7" t="str">
        <f>""</f>
        <v/>
      </c>
      <c r="C3" s="7" t="str">
        <f>""</f>
        <v/>
      </c>
      <c r="D3" s="7" t="str">
        <f>""</f>
        <v/>
      </c>
    </row>
    <row r="4" spans="1:4" x14ac:dyDescent="0.25">
      <c r="A4" s="2" t="str">
        <f>"1.0.0.00.00- ATIVO"</f>
        <v>1.0.0.00.00- ATIVO</v>
      </c>
      <c r="B4" s="10">
        <v>46213890.369999997</v>
      </c>
      <c r="C4" s="10">
        <v>-10706136.52</v>
      </c>
      <c r="D4" s="10">
        <v>35507753.850000001</v>
      </c>
    </row>
    <row r="5" spans="1:4" x14ac:dyDescent="0.25">
      <c r="A5" s="2" t="str">
        <f>"1.1.0.00.00- ATIVO CIRCULANTE"</f>
        <v>1.1.0.00.00- ATIVO CIRCULANTE</v>
      </c>
      <c r="B5" s="10">
        <v>33396076.23</v>
      </c>
      <c r="C5" s="10">
        <v>-17395526.859999999</v>
      </c>
      <c r="D5" s="10">
        <v>16000549.369999999</v>
      </c>
    </row>
    <row r="6" spans="1:4" x14ac:dyDescent="0.25">
      <c r="A6" s="2" t="str">
        <f>"1.1.1.00.00- DISPONIVEL"</f>
        <v>1.1.1.00.00- DISPONIVEL</v>
      </c>
      <c r="B6" s="10">
        <v>16135356.67</v>
      </c>
      <c r="C6" s="10">
        <v>-9892620.8200000003</v>
      </c>
      <c r="D6" s="10">
        <v>6242735.8499999996</v>
      </c>
    </row>
    <row r="7" spans="1:4" x14ac:dyDescent="0.25">
      <c r="A7" s="2" t="str">
        <f>"1.1.1.01.00- CAIXA GERAL"</f>
        <v>1.1.1.01.00- CAIXA GERAL</v>
      </c>
      <c r="B7" s="10">
        <v>875.9</v>
      </c>
      <c r="C7" s="10">
        <v>-875.9</v>
      </c>
      <c r="D7" s="10">
        <v>0</v>
      </c>
    </row>
    <row r="8" spans="1:4" x14ac:dyDescent="0.25">
      <c r="A8" s="2" t="str">
        <f>"1.1.1.01.08- Caixa - AJU"</f>
        <v>1.1.1.01.08- Caixa - AJU</v>
      </c>
      <c r="B8" s="10">
        <v>480</v>
      </c>
      <c r="C8" s="10">
        <v>-480</v>
      </c>
      <c r="D8" s="10">
        <v>0</v>
      </c>
    </row>
    <row r="9" spans="1:4" x14ac:dyDescent="0.25">
      <c r="A9" s="2" t="str">
        <f>"1.1.1.01.09- Caixa - GEAMP"</f>
        <v>1.1.1.01.09- Caixa - GEAMP</v>
      </c>
      <c r="B9" s="10">
        <v>395.9</v>
      </c>
      <c r="C9" s="10">
        <v>-395.9</v>
      </c>
      <c r="D9" s="10">
        <v>0</v>
      </c>
    </row>
    <row r="10" spans="1:4" x14ac:dyDescent="0.25">
      <c r="A10" s="2" t="str">
        <f>"1.1.1.02.00- BANCOS C/MOVIMENTO"</f>
        <v>1.1.1.02.00- BANCOS C/MOVIMENTO</v>
      </c>
      <c r="B10" s="10">
        <v>190322.27</v>
      </c>
      <c r="C10" s="10">
        <v>-2331.14</v>
      </c>
      <c r="D10" s="10">
        <v>187991.13</v>
      </c>
    </row>
    <row r="11" spans="1:4" x14ac:dyDescent="0.25">
      <c r="A11" s="2" t="str">
        <f>"1.1.1.02.11- Banco do Brasil S/A - 720.000-5"</f>
        <v>1.1.1.02.11- Banco do Brasil S/A - 720.000-5</v>
      </c>
      <c r="B11" s="10">
        <v>102.08</v>
      </c>
      <c r="C11" s="10">
        <v>-46.95</v>
      </c>
      <c r="D11" s="10">
        <v>55.13</v>
      </c>
    </row>
    <row r="12" spans="1:4" x14ac:dyDescent="0.25">
      <c r="A12" s="2" t="str">
        <f>"1.1.1.02.12- Banco do Brasil S/A - 720.001-3"</f>
        <v>1.1.1.02.12- Banco do Brasil S/A - 720.001-3</v>
      </c>
      <c r="B12" s="10">
        <v>-13193.97</v>
      </c>
      <c r="C12" s="10">
        <v>15350.87</v>
      </c>
      <c r="D12" s="10">
        <v>2156.9</v>
      </c>
    </row>
    <row r="13" spans="1:4" x14ac:dyDescent="0.25">
      <c r="A13" s="2" t="str">
        <f>"1.1.1.02.15- Banco do Brasil S/A - 7.218-4"</f>
        <v>1.1.1.02.15- Banco do Brasil S/A - 7.218-4</v>
      </c>
      <c r="B13" s="10">
        <v>1.06</v>
      </c>
      <c r="C13" s="10">
        <v>-1.06</v>
      </c>
      <c r="D13" s="10">
        <v>0</v>
      </c>
    </row>
    <row r="14" spans="1:4" x14ac:dyDescent="0.25">
      <c r="A14" s="2" t="str">
        <f>"1.1.1.02.29- Caixa Econômica Federal - 3289-3 Arrecad"</f>
        <v>1.1.1.02.29- Caixa Econômica Federal - 3289-3 Arrecad</v>
      </c>
      <c r="B14" s="10">
        <v>2035.67</v>
      </c>
      <c r="C14" s="10">
        <v>29722.880000000001</v>
      </c>
      <c r="D14" s="10">
        <v>31758.55</v>
      </c>
    </row>
    <row r="15" spans="1:4" x14ac:dyDescent="0.25">
      <c r="A15" s="2" t="str">
        <f>"1.1.1.02.30- Caixa Econômica Federal - 3291-5 Movimen"</f>
        <v>1.1.1.02.30- Caixa Econômica Federal - 3291-5 Movimen</v>
      </c>
      <c r="B15" s="10">
        <v>13814.37</v>
      </c>
      <c r="C15" s="10">
        <v>-13814.37</v>
      </c>
      <c r="D15" s="10">
        <v>0</v>
      </c>
    </row>
    <row r="16" spans="1:4" x14ac:dyDescent="0.25">
      <c r="A16" s="2" t="str">
        <f>"1.1.1.02.32- Caixa Econômica Federal - 3292-3 Leilão"</f>
        <v>1.1.1.02.32- Caixa Econômica Federal - 3292-3 Leilão</v>
      </c>
      <c r="B16" s="10">
        <v>80</v>
      </c>
      <c r="C16" s="10">
        <v>0</v>
      </c>
      <c r="D16" s="10">
        <v>80</v>
      </c>
    </row>
    <row r="17" spans="1:4" x14ac:dyDescent="0.25">
      <c r="A17" s="2" t="str">
        <f>"1.1.1.02.37- Caixa Econômica Federal - 3299-0Leilão16"</f>
        <v>1.1.1.02.37- Caixa Econômica Federal - 3299-0Leilão16</v>
      </c>
      <c r="B17" s="10">
        <v>80</v>
      </c>
      <c r="C17" s="10">
        <v>0</v>
      </c>
      <c r="D17" s="10">
        <v>80</v>
      </c>
    </row>
    <row r="18" spans="1:4" x14ac:dyDescent="0.25">
      <c r="A18" s="2" t="str">
        <f>"1.1.1.02.39- Caixa Econômica Federal - 3301-6 Mídia"</f>
        <v>1.1.1.02.39- Caixa Econômica Federal - 3301-6 Mídia</v>
      </c>
      <c r="B18" s="10">
        <v>3397.98</v>
      </c>
      <c r="C18" s="10">
        <v>1976.28</v>
      </c>
      <c r="D18" s="10">
        <v>5374.26</v>
      </c>
    </row>
    <row r="19" spans="1:4" x14ac:dyDescent="0.25">
      <c r="A19" s="2" t="str">
        <f>"1.1.1.02.40- Caixa Econômica Federal - 3302-4 Mídia"</f>
        <v>1.1.1.02.40- Caixa Econômica Federal - 3302-4 Mídia</v>
      </c>
      <c r="B19" s="10">
        <v>73817.31</v>
      </c>
      <c r="C19" s="10">
        <v>-7877.23</v>
      </c>
      <c r="D19" s="10">
        <v>65940.08</v>
      </c>
    </row>
    <row r="20" spans="1:4" x14ac:dyDescent="0.25">
      <c r="A20" s="2" t="str">
        <f>"1.1.1.02.41- Caixa Econômica Federal - 3303-2Rotativo"</f>
        <v>1.1.1.02.41- Caixa Econômica Federal - 3303-2Rotativo</v>
      </c>
      <c r="B20" s="10">
        <v>108044.16</v>
      </c>
      <c r="C20" s="10">
        <v>-26371.56</v>
      </c>
      <c r="D20" s="10">
        <v>81672.600000000006</v>
      </c>
    </row>
    <row r="21" spans="1:4" x14ac:dyDescent="0.25">
      <c r="A21" s="2" t="str">
        <f>"1.1.1.02.46- Caixa Econômica Federal - 3309-1 Rot int"</f>
        <v>1.1.1.02.46- Caixa Econômica Federal - 3309-1 Rot int</v>
      </c>
      <c r="B21" s="10">
        <v>1578</v>
      </c>
      <c r="C21" s="10">
        <v>-1270</v>
      </c>
      <c r="D21" s="10">
        <v>308</v>
      </c>
    </row>
    <row r="22" spans="1:4" x14ac:dyDescent="0.25">
      <c r="A22" s="2" t="str">
        <f>"1.1.1.02.48- Caixa Econômica Federal - 3393-8Leilão17"</f>
        <v>1.1.1.02.48- Caixa Econômica Federal - 3393-8Leilão17</v>
      </c>
      <c r="B22" s="10">
        <v>565.61</v>
      </c>
      <c r="C22" s="10">
        <v>0</v>
      </c>
      <c r="D22" s="10">
        <v>565.61</v>
      </c>
    </row>
    <row r="23" spans="1:4" x14ac:dyDescent="0.25">
      <c r="A23" s="2" t="str">
        <f>"1.1.1.03.00- APLICACOES FINANCEIRAS"</f>
        <v>1.1.1.03.00- APLICACOES FINANCEIRAS</v>
      </c>
      <c r="B23" s="10">
        <v>13286502.050000001</v>
      </c>
      <c r="C23" s="10">
        <v>-9751069.6699999999</v>
      </c>
      <c r="D23" s="10">
        <v>3535432.38</v>
      </c>
    </row>
    <row r="24" spans="1:4" x14ac:dyDescent="0.25">
      <c r="A24" s="2" t="str">
        <f>"1.1.1.03.23- Caixa Econômica Federal - 3291-5"</f>
        <v>1.1.1.03.23- Caixa Econômica Federal - 3291-5</v>
      </c>
      <c r="B24" s="10">
        <v>12026237.109999999</v>
      </c>
      <c r="C24" s="10">
        <v>-9750306.7599999998</v>
      </c>
      <c r="D24" s="10">
        <v>2275930.35</v>
      </c>
    </row>
    <row r="25" spans="1:4" x14ac:dyDescent="0.25">
      <c r="A25" s="2" t="str">
        <f>"1.1.1.03.25- Caixa Econômica Federal - 3292-3 Leilão"</f>
        <v>1.1.1.03.25- Caixa Econômica Federal - 3292-3 Leilão</v>
      </c>
      <c r="B25" s="10">
        <v>71867.259999999995</v>
      </c>
      <c r="C25" s="10">
        <v>364.84</v>
      </c>
      <c r="D25" s="10">
        <v>72232.100000000006</v>
      </c>
    </row>
    <row r="26" spans="1:4" x14ac:dyDescent="0.25">
      <c r="A26" s="2" t="str">
        <f>"1.1.1.03.26- Caixa Econômica Federal - 3295-8Leilão13"</f>
        <v>1.1.1.03.26- Caixa Econômica Federal - 3295-8Leilão13</v>
      </c>
      <c r="B26" s="10">
        <v>196820.72</v>
      </c>
      <c r="C26" s="10">
        <v>999.18</v>
      </c>
      <c r="D26" s="10">
        <v>197819.9</v>
      </c>
    </row>
    <row r="27" spans="1:4" x14ac:dyDescent="0.25">
      <c r="A27" s="2" t="str">
        <f>"1.1.1.03.29- Caixa Econômica Federal - 3298-2Leilão15"</f>
        <v>1.1.1.03.29- Caixa Econômica Federal - 3298-2Leilão15</v>
      </c>
      <c r="B27" s="10">
        <v>98538.44</v>
      </c>
      <c r="C27" s="10">
        <v>429.5</v>
      </c>
      <c r="D27" s="10">
        <v>98967.94</v>
      </c>
    </row>
    <row r="28" spans="1:4" x14ac:dyDescent="0.25">
      <c r="A28" s="2" t="str">
        <f>"1.1.1.03.30- Caixa Econômica Federal - 3299-0Leilão16"</f>
        <v>1.1.1.03.30- Caixa Econômica Federal - 3299-0Leilão16</v>
      </c>
      <c r="B28" s="10">
        <v>123799.75</v>
      </c>
      <c r="C28" s="10">
        <v>628.48</v>
      </c>
      <c r="D28" s="10">
        <v>124428.23</v>
      </c>
    </row>
    <row r="29" spans="1:4" x14ac:dyDescent="0.25">
      <c r="A29" s="2" t="str">
        <f>"1.1.1.03.31- Caixa Econômica Federal - 3300-8Leilão16"</f>
        <v>1.1.1.03.31- Caixa Econômica Federal - 3300-8Leilão16</v>
      </c>
      <c r="B29" s="10">
        <v>44521.08</v>
      </c>
      <c r="C29" s="10">
        <v>194.06</v>
      </c>
      <c r="D29" s="10">
        <v>44715.14</v>
      </c>
    </row>
    <row r="30" spans="1:4" x14ac:dyDescent="0.25">
      <c r="A30" s="2" t="str">
        <f>"1.1.1.03.32- Caixa Econômica - 3301-6 Mídia"</f>
        <v>1.1.1.03.32- Caixa Econômica - 3301-6 Mídia</v>
      </c>
      <c r="B30" s="10">
        <v>75282.45</v>
      </c>
      <c r="C30" s="10">
        <v>356.51</v>
      </c>
      <c r="D30" s="10">
        <v>75638.960000000006</v>
      </c>
    </row>
    <row r="31" spans="1:4" x14ac:dyDescent="0.25">
      <c r="A31" s="2" t="str">
        <f>"1.1.1.03.35- Caixa Econômica - 3304-0Caução"</f>
        <v>1.1.1.03.35- Caixa Econômica - 3304-0Caução</v>
      </c>
      <c r="B31" s="10">
        <v>423326.48</v>
      </c>
      <c r="C31" s="10">
        <v>1915.58</v>
      </c>
      <c r="D31" s="10">
        <v>425242.06</v>
      </c>
    </row>
    <row r="32" spans="1:4" x14ac:dyDescent="0.25">
      <c r="A32" s="2" t="str">
        <f>"1.1.1.03.36- Caixa Econômica - 3305-9Sucumb."</f>
        <v>1.1.1.03.36- Caixa Econômica - 3305-9Sucumb.</v>
      </c>
      <c r="B32" s="10">
        <v>36443.74</v>
      </c>
      <c r="C32" s="10">
        <v>149.47</v>
      </c>
      <c r="D32" s="10">
        <v>36593.21</v>
      </c>
    </row>
    <row r="33" spans="1:4" x14ac:dyDescent="0.25">
      <c r="A33" s="2" t="str">
        <f>"1.1.1.03.38- Caixa Econômica - 3308-3Leilão"</f>
        <v>1.1.1.03.38- Caixa Econômica - 3308-3Leilão</v>
      </c>
      <c r="B33" s="10">
        <v>2130.63</v>
      </c>
      <c r="C33" s="10">
        <v>8.74</v>
      </c>
      <c r="D33" s="10">
        <v>2139.37</v>
      </c>
    </row>
    <row r="34" spans="1:4" x14ac:dyDescent="0.25">
      <c r="A34" s="2" t="str">
        <f>"1.1.1.03.41- Caixa Econômica - 531-0 Aci moto poupanç"</f>
        <v>1.1.1.03.41- Caixa Econômica - 531-0 Aci moto poupanç</v>
      </c>
      <c r="B34" s="10">
        <v>4369.03</v>
      </c>
      <c r="C34" s="10">
        <v>0</v>
      </c>
      <c r="D34" s="10">
        <v>4369.03</v>
      </c>
    </row>
    <row r="35" spans="1:4" x14ac:dyDescent="0.25">
      <c r="A35" s="2" t="str">
        <f>"1.1.1.03.42- Caixa Econômica - 532-9 Acid Ped Poupanç"</f>
        <v>1.1.1.03.42- Caixa Econômica - 532-9 Acid Ped Poupanç</v>
      </c>
      <c r="B35" s="10">
        <v>95169.600000000006</v>
      </c>
      <c r="C35" s="10">
        <v>-5809.27</v>
      </c>
      <c r="D35" s="10">
        <v>89360.33</v>
      </c>
    </row>
    <row r="36" spans="1:4" x14ac:dyDescent="0.25">
      <c r="A36" s="2" t="str">
        <f>"1.1.1.03.43- Caixa Econômica - 534-5 Codemig Poupança"</f>
        <v>1.1.1.03.43- Caixa Econômica - 534-5 Codemig Poupança</v>
      </c>
      <c r="B36" s="10">
        <v>25433.05</v>
      </c>
      <c r="C36" s="10">
        <v>0</v>
      </c>
      <c r="D36" s="10">
        <v>25433.05</v>
      </c>
    </row>
    <row r="37" spans="1:4" x14ac:dyDescent="0.25">
      <c r="A37" s="2" t="str">
        <f>"1.1.1.03.44- Caixa Econômica - 535-3 Turblog Poupança"</f>
        <v>1.1.1.03.44- Caixa Econômica - 535-3 Turblog Poupança</v>
      </c>
      <c r="B37" s="10">
        <v>62562.71</v>
      </c>
      <c r="C37" s="10">
        <v>0</v>
      </c>
      <c r="D37" s="10">
        <v>62562.71</v>
      </c>
    </row>
    <row r="38" spans="1:4" x14ac:dyDescent="0.25">
      <c r="A38" s="2" t="str">
        <f>"1.1.1.04.00- BANCOS C/VINCULADA-PAMEH"</f>
        <v>1.1.1.04.00- BANCOS C/VINCULADA-PAMEH</v>
      </c>
      <c r="B38" s="10">
        <v>2657656.4500000002</v>
      </c>
      <c r="C38" s="10">
        <v>-138344.10999999999</v>
      </c>
      <c r="D38" s="10">
        <v>2519312.34</v>
      </c>
    </row>
    <row r="39" spans="1:4" x14ac:dyDescent="0.25">
      <c r="A39" s="2" t="str">
        <f>"1.1.1.04.07- Caixa Econômica Federal - 3294-0"</f>
        <v>1.1.1.04.07- Caixa Econômica Federal - 3294-0</v>
      </c>
      <c r="B39" s="10">
        <v>1215.28</v>
      </c>
      <c r="C39" s="10">
        <v>-1215.28</v>
      </c>
      <c r="D39" s="10">
        <v>0</v>
      </c>
    </row>
    <row r="40" spans="1:4" x14ac:dyDescent="0.25">
      <c r="A40" s="2" t="str">
        <f>"1.1.1.04.08- Caixa Econômica Federal - 3294-0 Aplic."</f>
        <v>1.1.1.04.08- Caixa Econômica Federal - 3294-0 Aplic.</v>
      </c>
      <c r="B40" s="10">
        <v>2656441.17</v>
      </c>
      <c r="C40" s="10">
        <v>-137128.82999999999</v>
      </c>
      <c r="D40" s="10">
        <v>2519312.34</v>
      </c>
    </row>
    <row r="41" spans="1:4" x14ac:dyDescent="0.25">
      <c r="A41" s="2" t="str">
        <f>"1.1.2.00.00- REALIZAVEL A CURTO PRAZO"</f>
        <v>1.1.2.00.00- REALIZAVEL A CURTO PRAZO</v>
      </c>
      <c r="B41" s="10">
        <v>17260719.559999999</v>
      </c>
      <c r="C41" s="10">
        <v>-7502906.04</v>
      </c>
      <c r="D41" s="10">
        <v>9757813.5199999996</v>
      </c>
    </row>
    <row r="42" spans="1:4" x14ac:dyDescent="0.25">
      <c r="A42" s="2" t="str">
        <f>"1.1.2.01.00- CONTAS A RECEBER"</f>
        <v>1.1.2.01.00- CONTAS A RECEBER</v>
      </c>
      <c r="B42" s="10">
        <v>10605042.66</v>
      </c>
      <c r="C42" s="10">
        <v>-6184510.1100000003</v>
      </c>
      <c r="D42" s="10">
        <v>4420532.55</v>
      </c>
    </row>
    <row r="43" spans="1:4" x14ac:dyDescent="0.25">
      <c r="A43" s="2" t="str">
        <f>"1.1.2.01.89- Multas Transporte Coletivo"</f>
        <v>1.1.2.01.89- Multas Transporte Coletivo</v>
      </c>
      <c r="B43" s="10">
        <v>12271834.310000001</v>
      </c>
      <c r="C43" s="10">
        <v>-6876366.75</v>
      </c>
      <c r="D43" s="10">
        <v>5395467.5599999996</v>
      </c>
    </row>
    <row r="44" spans="1:4" x14ac:dyDescent="0.25">
      <c r="A44" s="2" t="str">
        <f>"1.1.2.01.92- Midia Taxi, Escolar e Suplementar"</f>
        <v>1.1.2.01.92- Midia Taxi, Escolar e Suplementar</v>
      </c>
      <c r="B44" s="10">
        <v>0</v>
      </c>
      <c r="C44" s="10">
        <v>280</v>
      </c>
      <c r="D44" s="10">
        <v>280</v>
      </c>
    </row>
    <row r="45" spans="1:4" x14ac:dyDescent="0.25">
      <c r="A45" s="2" t="str">
        <f>"1.1.2.01.94- Midia Onibus a Receber"</f>
        <v>1.1.2.01.94- Midia Onibus a Receber</v>
      </c>
      <c r="B45" s="10">
        <v>253567.34</v>
      </c>
      <c r="C45" s="10">
        <v>0</v>
      </c>
      <c r="D45" s="10">
        <v>253567.34</v>
      </c>
    </row>
    <row r="46" spans="1:4" x14ac:dyDescent="0.25">
      <c r="A46" s="2" t="str">
        <f>"1.1.2.01.99- (-) Provisao para Perdas"</f>
        <v>1.1.2.01.99- (-) Provisao para Perdas</v>
      </c>
      <c r="B46" s="10">
        <v>-1920358.99</v>
      </c>
      <c r="C46" s="10">
        <v>691576.64</v>
      </c>
      <c r="D46" s="10">
        <v>-1228782.3500000001</v>
      </c>
    </row>
    <row r="47" spans="1:4" x14ac:dyDescent="0.25">
      <c r="A47" s="2" t="str">
        <f>"1.1.2.06.00- ADIANTAMENTO A EMPREGADOS"</f>
        <v>1.1.2.06.00- ADIANTAMENTO A EMPREGADOS</v>
      </c>
      <c r="B47" s="10">
        <v>3235735.78</v>
      </c>
      <c r="C47" s="10">
        <v>-1421677.51</v>
      </c>
      <c r="D47" s="10">
        <v>1814058.27</v>
      </c>
    </row>
    <row r="48" spans="1:4" x14ac:dyDescent="0.25">
      <c r="A48" s="2" t="str">
        <f>"1.1.2.06.01- Adiantamento de Ferias"</f>
        <v>1.1.2.06.01- Adiantamento de Ferias</v>
      </c>
      <c r="B48" s="10">
        <v>516713.83</v>
      </c>
      <c r="C48" s="10">
        <v>1056567.68</v>
      </c>
      <c r="D48" s="10">
        <v>1573281.51</v>
      </c>
    </row>
    <row r="49" spans="1:4" x14ac:dyDescent="0.25">
      <c r="A49" s="2" t="str">
        <f>"1.1.2.06.02- Adiantamento de 13. Salario"</f>
        <v>1.1.2.06.02- Adiantamento de 13. Salario</v>
      </c>
      <c r="B49" s="10">
        <v>2529698.75</v>
      </c>
      <c r="C49" s="10">
        <v>-2529698.75</v>
      </c>
      <c r="D49" s="10">
        <v>0</v>
      </c>
    </row>
    <row r="50" spans="1:4" x14ac:dyDescent="0.25">
      <c r="A50" s="2" t="str">
        <f>"1.1.2.06.03- Adiant. de Salario/Parc. Ferias"</f>
        <v>1.1.2.06.03- Adiant. de Salario/Parc. Ferias</v>
      </c>
      <c r="B50" s="10">
        <v>89193.65</v>
      </c>
      <c r="C50" s="10">
        <v>-22070.44</v>
      </c>
      <c r="D50" s="10">
        <v>67123.210000000006</v>
      </c>
    </row>
    <row r="51" spans="1:4" x14ac:dyDescent="0.25">
      <c r="A51" s="2" t="str">
        <f>"1.1.2.06.07- Adiantamento Pensao s/ Ferias"</f>
        <v>1.1.2.06.07- Adiantamento Pensao s/ Ferias</v>
      </c>
      <c r="B51" s="10">
        <v>100129.55</v>
      </c>
      <c r="C51" s="10">
        <v>73524</v>
      </c>
      <c r="D51" s="10">
        <v>173653.55</v>
      </c>
    </row>
    <row r="52" spans="1:4" x14ac:dyDescent="0.25">
      <c r="A52" s="2" t="str">
        <f>"1.1.2.08.00- ALMOXARIFADO"</f>
        <v>1.1.2.08.00- ALMOXARIFADO</v>
      </c>
      <c r="B52" s="10">
        <v>292285.65000000002</v>
      </c>
      <c r="C52" s="10">
        <v>-27106.75</v>
      </c>
      <c r="D52" s="10">
        <v>265178.90000000002</v>
      </c>
    </row>
    <row r="53" spans="1:4" x14ac:dyDescent="0.25">
      <c r="A53" s="2" t="str">
        <f>"1.1.2.08.01- Material em Estoque"</f>
        <v>1.1.2.08.01- Material em Estoque</v>
      </c>
      <c r="B53" s="10">
        <v>292285.65000000002</v>
      </c>
      <c r="C53" s="10">
        <v>-27106.75</v>
      </c>
      <c r="D53" s="10">
        <v>265178.90000000002</v>
      </c>
    </row>
    <row r="54" spans="1:4" x14ac:dyDescent="0.25">
      <c r="A54" s="2" t="str">
        <f>"1.1.2.10.00- IMPOSTOS E CONTRIB.A RECUPERAR"</f>
        <v>1.1.2.10.00- IMPOSTOS E CONTRIB.A RECUPERAR</v>
      </c>
      <c r="B54" s="10">
        <v>1886576.88</v>
      </c>
      <c r="C54" s="10">
        <v>25916.080000000002</v>
      </c>
      <c r="D54" s="10">
        <v>1912492.96</v>
      </c>
    </row>
    <row r="55" spans="1:4" x14ac:dyDescent="0.25">
      <c r="A55" s="2" t="str">
        <f>"1.1.2.10.01- IR s/Aplicacao Financeira"</f>
        <v>1.1.2.10.01- IR s/Aplicacao Financeira</v>
      </c>
      <c r="B55" s="10">
        <v>506007.89</v>
      </c>
      <c r="C55" s="10">
        <v>25858.53</v>
      </c>
      <c r="D55" s="10">
        <v>531866.42000000004</v>
      </c>
    </row>
    <row r="56" spans="1:4" x14ac:dyDescent="0.25">
      <c r="A56" s="2" t="str">
        <f>"1.1.2.10.08- IRRF a Compensar"</f>
        <v>1.1.2.10.08- IRRF a Compensar</v>
      </c>
      <c r="B56" s="10">
        <v>1454.99</v>
      </c>
      <c r="C56" s="10">
        <v>0</v>
      </c>
      <c r="D56" s="10">
        <v>1454.99</v>
      </c>
    </row>
    <row r="57" spans="1:4" x14ac:dyDescent="0.25">
      <c r="A57" s="2" t="str">
        <f>"1.1.2.10.15- Cofins a Compensar"</f>
        <v>1.1.2.10.15- Cofins a Compensar</v>
      </c>
      <c r="B57" s="10">
        <v>1039251.09</v>
      </c>
      <c r="C57" s="10">
        <v>0</v>
      </c>
      <c r="D57" s="10">
        <v>1039251.09</v>
      </c>
    </row>
    <row r="58" spans="1:4" x14ac:dyDescent="0.25">
      <c r="A58" s="2" t="str">
        <f>"1.1.2.10.16- PIS a Compensar"</f>
        <v>1.1.2.10.16- PIS a Compensar</v>
      </c>
      <c r="B58" s="10">
        <v>224393.98</v>
      </c>
      <c r="C58" s="10">
        <v>-0.01</v>
      </c>
      <c r="D58" s="10">
        <v>224393.97</v>
      </c>
    </row>
    <row r="59" spans="1:4" x14ac:dyDescent="0.25">
      <c r="A59" s="2" t="str">
        <f>"1.1.2.10.20- V.M.A PIS a Recuperar"</f>
        <v>1.1.2.10.20- V.M.A PIS a Recuperar</v>
      </c>
      <c r="B59" s="10">
        <v>1347.25</v>
      </c>
      <c r="C59" s="10">
        <v>31.52</v>
      </c>
      <c r="D59" s="10">
        <v>1378.77</v>
      </c>
    </row>
    <row r="60" spans="1:4" x14ac:dyDescent="0.25">
      <c r="A60" s="2" t="str">
        <f>"1.1.2.10.21- V.M.A IRRF a Compensar"</f>
        <v>1.1.2.10.21- V.M.A IRRF a Compensar</v>
      </c>
      <c r="B60" s="10">
        <v>471.73</v>
      </c>
      <c r="C60" s="10">
        <v>7.85</v>
      </c>
      <c r="D60" s="10">
        <v>479.58</v>
      </c>
    </row>
    <row r="61" spans="1:4" x14ac:dyDescent="0.25">
      <c r="A61" s="2" t="str">
        <f>"1.1.2.10.22- V.M.A COFINS a Compensar"</f>
        <v>1.1.2.10.22- V.M.A COFINS a Compensar</v>
      </c>
      <c r="B61" s="10">
        <v>5386.18</v>
      </c>
      <c r="C61" s="10">
        <v>18.190000000000001</v>
      </c>
      <c r="D61" s="10">
        <v>5404.37</v>
      </c>
    </row>
    <row r="62" spans="1:4" x14ac:dyDescent="0.25">
      <c r="A62" s="2" t="str">
        <f>"1.1.2.10.25- INSS a recuperar segurados"</f>
        <v>1.1.2.10.25- INSS a recuperar segurados</v>
      </c>
      <c r="B62" s="10">
        <v>108263.77</v>
      </c>
      <c r="C62" s="10">
        <v>0</v>
      </c>
      <c r="D62" s="10">
        <v>108263.77</v>
      </c>
    </row>
    <row r="63" spans="1:4" x14ac:dyDescent="0.25">
      <c r="A63" s="2" t="str">
        <f>"1.1.2.11.00- DESPESAS ANTECIPADAS"</f>
        <v>1.1.2.11.00- DESPESAS ANTECIPADAS</v>
      </c>
      <c r="B63" s="10">
        <v>8128.64</v>
      </c>
      <c r="C63" s="10">
        <v>-1159</v>
      </c>
      <c r="D63" s="10">
        <v>6969.64</v>
      </c>
    </row>
    <row r="64" spans="1:4" x14ac:dyDescent="0.25">
      <c r="A64" s="2" t="str">
        <f>"1.1.2.11.01- Premios de Seguros a Vencer"</f>
        <v>1.1.2.11.01- Premios de Seguros a Vencer</v>
      </c>
      <c r="B64" s="10">
        <v>8128.64</v>
      </c>
      <c r="C64" s="10">
        <v>-1159</v>
      </c>
      <c r="D64" s="10">
        <v>6969.64</v>
      </c>
    </row>
    <row r="65" spans="1:4" x14ac:dyDescent="0.25">
      <c r="A65" s="2" t="str">
        <f>"1.1.2.12.00- VALORES VINC.A RECEBER-PAMEH"</f>
        <v>1.1.2.12.00- VALORES VINC.A RECEBER-PAMEH</v>
      </c>
      <c r="B65" s="10">
        <v>732778.73</v>
      </c>
      <c r="C65" s="10">
        <v>11756.46</v>
      </c>
      <c r="D65" s="10">
        <v>744535.19</v>
      </c>
    </row>
    <row r="66" spans="1:4" x14ac:dyDescent="0.25">
      <c r="A66" s="2" t="str">
        <f>"1.1.2.12.01- Valores Vinculados-PAMEH"</f>
        <v>1.1.2.12.01- Valores Vinculados-PAMEH</v>
      </c>
      <c r="B66" s="10">
        <v>732778.73</v>
      </c>
      <c r="C66" s="10">
        <v>11756.46</v>
      </c>
      <c r="D66" s="10">
        <v>744535.19</v>
      </c>
    </row>
    <row r="67" spans="1:4" x14ac:dyDescent="0.25">
      <c r="A67" s="2" t="str">
        <f>"1.1.2.14.00- CONTAS TRANSITORIAS - GRUPO ATIVO"</f>
        <v>1.1.2.14.00- CONTAS TRANSITORIAS - GRUPO ATIVO</v>
      </c>
      <c r="B67" s="10">
        <v>477520.02</v>
      </c>
      <c r="C67" s="10">
        <v>85380.59</v>
      </c>
      <c r="D67" s="10">
        <v>562900.61</v>
      </c>
    </row>
    <row r="68" spans="1:4" x14ac:dyDescent="0.25">
      <c r="A68" s="2" t="str">
        <f>"1.1.2.14.05- Transitoria Folha de Pagamento"</f>
        <v>1.1.2.14.05- Transitoria Folha de Pagamento</v>
      </c>
      <c r="B68" s="10">
        <v>477520.02</v>
      </c>
      <c r="C68" s="10">
        <v>85380.59</v>
      </c>
      <c r="D68" s="10">
        <v>562900.61</v>
      </c>
    </row>
    <row r="69" spans="1:4" x14ac:dyDescent="0.25">
      <c r="A69" s="2" t="str">
        <f>"1.1.2.15.00- CARNE ESTACIONAMENTO ROTATIVO"</f>
        <v>1.1.2.15.00- CARNE ESTACIONAMENTO ROTATIVO</v>
      </c>
      <c r="B69" s="10">
        <v>22651.200000000001</v>
      </c>
      <c r="C69" s="10">
        <v>8494.2000000000007</v>
      </c>
      <c r="D69" s="10">
        <v>31145.4</v>
      </c>
    </row>
    <row r="70" spans="1:4" x14ac:dyDescent="0.25">
      <c r="A70" s="2" t="str">
        <f>"1.1.2.15.01- Carne Rotativo"</f>
        <v>1.1.2.15.01- Carne Rotativo</v>
      </c>
      <c r="B70" s="10">
        <v>22651.200000000001</v>
      </c>
      <c r="C70" s="10">
        <v>8494.2000000000007</v>
      </c>
      <c r="D70" s="10">
        <v>31145.4</v>
      </c>
    </row>
    <row r="71" spans="1:4" x14ac:dyDescent="0.25">
      <c r="A71" s="2" t="str">
        <f>"1.2.0.00.00- ATIVO NAO CIRCULANTE"</f>
        <v>1.2.0.00.00- ATIVO NAO CIRCULANTE</v>
      </c>
      <c r="B71" s="10">
        <v>12817814.140000001</v>
      </c>
      <c r="C71" s="10">
        <v>6689390.3399999999</v>
      </c>
      <c r="D71" s="10">
        <v>19507204.48</v>
      </c>
    </row>
    <row r="72" spans="1:4" x14ac:dyDescent="0.25">
      <c r="A72" s="2" t="str">
        <f>"1.2.1.00.00- REALIZAVEL A LONGO PRAZO"</f>
        <v>1.2.1.00.00- REALIZAVEL A LONGO PRAZO</v>
      </c>
      <c r="B72" s="10">
        <v>10748962.369999999</v>
      </c>
      <c r="C72" s="10">
        <v>6702651.9400000004</v>
      </c>
      <c r="D72" s="10">
        <v>17451614.309999999</v>
      </c>
    </row>
    <row r="73" spans="1:4" x14ac:dyDescent="0.25">
      <c r="A73" s="2" t="str">
        <f>"1.2.1.01.00- CREDITOS E VALORES A RECEBER"</f>
        <v>1.2.1.01.00- CREDITOS E VALORES A RECEBER</v>
      </c>
      <c r="B73" s="10">
        <v>10748962.369999999</v>
      </c>
      <c r="C73" s="10">
        <v>6702651.9400000004</v>
      </c>
      <c r="D73" s="10">
        <v>17451614.309999999</v>
      </c>
    </row>
    <row r="74" spans="1:4" x14ac:dyDescent="0.25">
      <c r="A74" s="2" t="str">
        <f>"1.2.1.01.01- Depositos Judiciais"</f>
        <v>1.2.1.01.01- Depositos Judiciais</v>
      </c>
      <c r="B74" s="10">
        <v>4865380.13</v>
      </c>
      <c r="C74" s="10">
        <v>70779.199999999997</v>
      </c>
      <c r="D74" s="10">
        <v>4936159.33</v>
      </c>
    </row>
    <row r="75" spans="1:4" x14ac:dyDescent="0.25">
      <c r="A75" s="2" t="str">
        <f>"1.2.1.01.03- Depositos Judiciais de Terceiros"</f>
        <v>1.2.1.01.03- Depositos Judiciais de Terceiros</v>
      </c>
      <c r="B75" s="10">
        <v>406087.39</v>
      </c>
      <c r="C75" s="10">
        <v>519000</v>
      </c>
      <c r="D75" s="10">
        <v>925087.39</v>
      </c>
    </row>
    <row r="76" spans="1:4" x14ac:dyDescent="0.25">
      <c r="A76" s="2" t="str">
        <f>"1.2.1.01.04- Convenio Prefeitura Betim"</f>
        <v>1.2.1.01.04- Convenio Prefeitura Betim</v>
      </c>
      <c r="B76" s="10">
        <v>21463.9</v>
      </c>
      <c r="C76" s="10">
        <v>-20572.72</v>
      </c>
      <c r="D76" s="10">
        <v>891.18</v>
      </c>
    </row>
    <row r="77" spans="1:4" x14ac:dyDescent="0.25">
      <c r="A77" s="2" t="str">
        <f>"1.2.1.01.05- Convenio IPSEMG"</f>
        <v>1.2.1.01.05- Convenio IPSEMG</v>
      </c>
      <c r="B77" s="10">
        <v>21163.53</v>
      </c>
      <c r="C77" s="10">
        <v>0</v>
      </c>
      <c r="D77" s="10">
        <v>21163.53</v>
      </c>
    </row>
    <row r="78" spans="1:4" x14ac:dyDescent="0.25">
      <c r="A78" s="2" t="str">
        <f>"1.2.1.01.06- Multas Transporte Coletivo"</f>
        <v>1.2.1.01.06- Multas Transporte Coletivo</v>
      </c>
      <c r="B78" s="10">
        <v>5434867.4199999999</v>
      </c>
      <c r="C78" s="10">
        <v>7418813.54</v>
      </c>
      <c r="D78" s="10">
        <v>12853680.960000001</v>
      </c>
    </row>
    <row r="79" spans="1:4" x14ac:dyDescent="0.25">
      <c r="A79" s="2" t="str">
        <f>"1.2.1.01.07- (-) Provisao para Perdas"</f>
        <v>1.2.1.01.07- (-) Provisao para Perdas</v>
      </c>
      <c r="B79" s="10">
        <v>0</v>
      </c>
      <c r="C79" s="10">
        <v>-1285368.08</v>
      </c>
      <c r="D79" s="10">
        <v>-1285368.08</v>
      </c>
    </row>
    <row r="80" spans="1:4" x14ac:dyDescent="0.25">
      <c r="A80" s="2" t="str">
        <f>"1.3.1.00.00- INVESTIMENTOS"</f>
        <v>1.3.1.00.00- INVESTIMENTOS</v>
      </c>
      <c r="B80" s="10">
        <v>26070</v>
      </c>
      <c r="C80" s="10">
        <v>0</v>
      </c>
      <c r="D80" s="10">
        <v>26070</v>
      </c>
    </row>
    <row r="81" spans="1:4" x14ac:dyDescent="0.25">
      <c r="A81" s="2" t="str">
        <f>"1.3.1.01.00- OUTROS INVESTIMENTOS"</f>
        <v>1.3.1.01.00- OUTROS INVESTIMENTOS</v>
      </c>
      <c r="B81" s="10">
        <v>26070</v>
      </c>
      <c r="C81" s="10">
        <v>0</v>
      </c>
      <c r="D81" s="10">
        <v>26070</v>
      </c>
    </row>
    <row r="82" spans="1:4" x14ac:dyDescent="0.25">
      <c r="A82" s="2" t="str">
        <f>"1.3.1.01.01- Obras de Arte"</f>
        <v>1.3.1.01.01- Obras de Arte</v>
      </c>
      <c r="B82" s="10">
        <v>25200</v>
      </c>
      <c r="C82" s="10">
        <v>0</v>
      </c>
      <c r="D82" s="10">
        <v>25200</v>
      </c>
    </row>
    <row r="83" spans="1:4" x14ac:dyDescent="0.25">
      <c r="A83" s="2" t="str">
        <f>"1.3.1.01.02- Participações Societárias - PBH ATIVOS"</f>
        <v>1.3.1.01.02- Participações Societárias - PBH ATIVOS</v>
      </c>
      <c r="B83" s="10">
        <v>870</v>
      </c>
      <c r="C83" s="10">
        <v>0</v>
      </c>
      <c r="D83" s="10">
        <v>870</v>
      </c>
    </row>
    <row r="84" spans="1:4" x14ac:dyDescent="0.25">
      <c r="A84" s="2" t="str">
        <f>"1.3.2.00.00- IMOBILIZADO"</f>
        <v>1.3.2.00.00- IMOBILIZADO</v>
      </c>
      <c r="B84" s="10">
        <v>7694153.8899999997</v>
      </c>
      <c r="C84" s="10">
        <v>8850.2999999999993</v>
      </c>
      <c r="D84" s="10">
        <v>7703004.1900000004</v>
      </c>
    </row>
    <row r="85" spans="1:4" x14ac:dyDescent="0.25">
      <c r="A85" s="2" t="str">
        <f>"1.3.2.01.01- Maquinas e equipamentos"</f>
        <v>1.3.2.01.01- Maquinas e equipamentos</v>
      </c>
      <c r="B85" s="10">
        <v>239335.46</v>
      </c>
      <c r="C85" s="10">
        <v>0</v>
      </c>
      <c r="D85" s="10">
        <v>239335.46</v>
      </c>
    </row>
    <row r="86" spans="1:4" x14ac:dyDescent="0.25">
      <c r="A86" s="2" t="str">
        <f>"1.3.2.02.01- Ferramentas"</f>
        <v>1.3.2.02.01- Ferramentas</v>
      </c>
      <c r="B86" s="10">
        <v>9104.81</v>
      </c>
      <c r="C86" s="10">
        <v>0</v>
      </c>
      <c r="D86" s="10">
        <v>9104.81</v>
      </c>
    </row>
    <row r="87" spans="1:4" x14ac:dyDescent="0.25">
      <c r="A87" s="2" t="str">
        <f>"1.3.2.03.01- Equipamentos de comunicacao"</f>
        <v>1.3.2.03.01- Equipamentos de comunicacao</v>
      </c>
      <c r="B87" s="10">
        <v>172167.01</v>
      </c>
      <c r="C87" s="10">
        <v>0</v>
      </c>
      <c r="D87" s="10">
        <v>172167.01</v>
      </c>
    </row>
    <row r="88" spans="1:4" x14ac:dyDescent="0.25">
      <c r="A88" s="2" t="str">
        <f>"1.3.2.04.01- Instalacoes"</f>
        <v>1.3.2.04.01- Instalacoes</v>
      </c>
      <c r="B88" s="10">
        <v>85222.9</v>
      </c>
      <c r="C88" s="10">
        <v>0</v>
      </c>
      <c r="D88" s="10">
        <v>85222.9</v>
      </c>
    </row>
    <row r="89" spans="1:4" x14ac:dyDescent="0.25">
      <c r="A89" s="2" t="str">
        <f>"1.3.2.06.01- Moveis e utensilios"</f>
        <v>1.3.2.06.01- Moveis e utensilios</v>
      </c>
      <c r="B89" s="10">
        <v>535902.43999999994</v>
      </c>
      <c r="C89" s="10">
        <v>1429</v>
      </c>
      <c r="D89" s="10">
        <v>537331.43999999994</v>
      </c>
    </row>
    <row r="90" spans="1:4" x14ac:dyDescent="0.25">
      <c r="A90" s="2" t="str">
        <f>"1.3.2.08.01- Instalacoes administrativas"</f>
        <v>1.3.2.08.01- Instalacoes administrativas</v>
      </c>
      <c r="B90" s="10">
        <v>99146.34</v>
      </c>
      <c r="C90" s="10">
        <v>0</v>
      </c>
      <c r="D90" s="10">
        <v>99146.34</v>
      </c>
    </row>
    <row r="91" spans="1:4" x14ac:dyDescent="0.25">
      <c r="A91" s="2" t="str">
        <f>"1.3.2.09.01- Aparelhos/equipamentos diversos"</f>
        <v>1.3.2.09.01- Aparelhos/equipamentos diversos</v>
      </c>
      <c r="B91" s="10">
        <v>595112.27</v>
      </c>
      <c r="C91" s="10">
        <v>7421.3</v>
      </c>
      <c r="D91" s="10">
        <v>602533.56999999995</v>
      </c>
    </row>
    <row r="92" spans="1:4" x14ac:dyDescent="0.25">
      <c r="A92" s="2" t="str">
        <f>"1.3.2.10.01- Equip. p/ processamento de dados"</f>
        <v>1.3.2.10.01- Equip. p/ processamento de dados</v>
      </c>
      <c r="B92" s="10">
        <v>1550246.6</v>
      </c>
      <c r="C92" s="10">
        <v>0</v>
      </c>
      <c r="D92" s="10">
        <v>1550246.6</v>
      </c>
    </row>
    <row r="93" spans="1:4" x14ac:dyDescent="0.25">
      <c r="A93" s="2" t="str">
        <f>"1.3.2.12.01- Micros/impressoras e acessorios"</f>
        <v>1.3.2.12.01- Micros/impressoras e acessorios</v>
      </c>
      <c r="B93" s="10">
        <v>2690531.68</v>
      </c>
      <c r="C93" s="10">
        <v>0</v>
      </c>
      <c r="D93" s="10">
        <v>2690531.68</v>
      </c>
    </row>
    <row r="94" spans="1:4" x14ac:dyDescent="0.25">
      <c r="A94" s="2" t="str">
        <f>"1.3.2.13.01- Imobilizacao em imoveis de terceiros"</f>
        <v>1.3.2.13.01- Imobilizacao em imoveis de terceiros</v>
      </c>
      <c r="B94" s="10">
        <v>511539.98</v>
      </c>
      <c r="C94" s="10">
        <v>0</v>
      </c>
      <c r="D94" s="10">
        <v>511539.98</v>
      </c>
    </row>
    <row r="95" spans="1:4" x14ac:dyDescent="0.25">
      <c r="A95" s="2" t="str">
        <f>"1.3.2.14.01- Estacao Diamante"</f>
        <v>1.3.2.14.01- Estacao Diamante</v>
      </c>
      <c r="B95" s="10">
        <v>1162384.46</v>
      </c>
      <c r="C95" s="10">
        <v>0</v>
      </c>
      <c r="D95" s="10">
        <v>1162384.46</v>
      </c>
    </row>
    <row r="96" spans="1:4" x14ac:dyDescent="0.25">
      <c r="A96" s="2" t="str">
        <f>"1.3.2.15.00- IMOBILIZACOES EM ANDAMENTO"</f>
        <v>1.3.2.15.00- IMOBILIZACOES EM ANDAMENTO</v>
      </c>
      <c r="B96" s="10">
        <v>43459.94</v>
      </c>
      <c r="C96" s="10">
        <v>0</v>
      </c>
      <c r="D96" s="10">
        <v>43459.94</v>
      </c>
    </row>
    <row r="97" spans="1:4" x14ac:dyDescent="0.25">
      <c r="A97" s="2" t="str">
        <f>"1.3.2.15.01- Construcoes em Andamento"</f>
        <v>1.3.2.15.01- Construcoes em Andamento</v>
      </c>
      <c r="B97" s="10">
        <v>43459.94</v>
      </c>
      <c r="C97" s="10">
        <v>0</v>
      </c>
      <c r="D97" s="10">
        <v>43459.94</v>
      </c>
    </row>
    <row r="98" spans="1:4" x14ac:dyDescent="0.25">
      <c r="A98" s="2" t="str">
        <f>"1.3.3.00.00- INTANGIVEL"</f>
        <v>1.3.3.00.00- INTANGIVEL</v>
      </c>
      <c r="B98" s="10">
        <v>37558</v>
      </c>
      <c r="C98" s="10">
        <v>0</v>
      </c>
      <c r="D98" s="10">
        <v>37558</v>
      </c>
    </row>
    <row r="99" spans="1:4" x14ac:dyDescent="0.25">
      <c r="A99" s="2" t="str">
        <f>"1.3.3.04.01- Programas e Sistemas"</f>
        <v>1.3.3.04.01- Programas e Sistemas</v>
      </c>
      <c r="B99" s="10">
        <v>37558</v>
      </c>
      <c r="C99" s="10">
        <v>0</v>
      </c>
      <c r="D99" s="10">
        <v>37558</v>
      </c>
    </row>
    <row r="100" spans="1:4" x14ac:dyDescent="0.25">
      <c r="A100" s="2" t="str">
        <f>"1.3.5.00.00- ( - )DEPRECIACAO E AMORTIZACAO"</f>
        <v>1.3.5.00.00- ( - )DEPRECIACAO E AMORTIZACAO</v>
      </c>
      <c r="B100" s="10">
        <v>-5688930.1200000001</v>
      </c>
      <c r="C100" s="10">
        <v>-22111.9</v>
      </c>
      <c r="D100" s="10">
        <v>-5711042.0199999996</v>
      </c>
    </row>
    <row r="101" spans="1:4" x14ac:dyDescent="0.25">
      <c r="A101" s="2" t="str">
        <f>"1.3.5.01.00- ( - ) DEPRECIACAO E AMORTIZACAO"</f>
        <v>1.3.5.01.00- ( - ) DEPRECIACAO E AMORTIZACAO</v>
      </c>
      <c r="B101" s="10">
        <v>-5688930.1200000001</v>
      </c>
      <c r="C101" s="10">
        <v>-22111.9</v>
      </c>
      <c r="D101" s="10">
        <v>-5711042.0199999996</v>
      </c>
    </row>
    <row r="102" spans="1:4" x14ac:dyDescent="0.25">
      <c r="A102" s="2" t="str">
        <f>"1.3.5.01.01- ( - ) Moveis e Utensilios"</f>
        <v>1.3.5.01.01- ( - ) Moveis e Utensilios</v>
      </c>
      <c r="B102" s="10">
        <v>-441883.74</v>
      </c>
      <c r="C102" s="10">
        <v>-2406.88</v>
      </c>
      <c r="D102" s="10">
        <v>-444290.62</v>
      </c>
    </row>
    <row r="103" spans="1:4" x14ac:dyDescent="0.25">
      <c r="A103" s="2" t="str">
        <f>"1.3.5.01.02- ( - ) Aparelhos/Equipamentos Diversos"</f>
        <v>1.3.5.01.02- ( - ) Aparelhos/Equipamentos Diversos</v>
      </c>
      <c r="B103" s="10">
        <v>-363199.41</v>
      </c>
      <c r="C103" s="10">
        <v>-3786.07</v>
      </c>
      <c r="D103" s="10">
        <v>-366985.48</v>
      </c>
    </row>
    <row r="104" spans="1:4" x14ac:dyDescent="0.25">
      <c r="A104" s="2" t="str">
        <f>"1.3.5.01.03- ( - ) Instalacoes Administrativas"</f>
        <v>1.3.5.01.03- ( - ) Instalacoes Administrativas</v>
      </c>
      <c r="B104" s="10">
        <v>-99017.29</v>
      </c>
      <c r="C104" s="10">
        <v>-9.14</v>
      </c>
      <c r="D104" s="10">
        <v>-99026.43</v>
      </c>
    </row>
    <row r="105" spans="1:4" x14ac:dyDescent="0.25">
      <c r="A105" s="2" t="str">
        <f>"1.3.5.01.05- ( - ) Impressoras e Micros"</f>
        <v>1.3.5.01.05- ( - ) Impressoras e Micros</v>
      </c>
      <c r="B105" s="10">
        <v>-3254984.15</v>
      </c>
      <c r="C105" s="10">
        <v>-7875.61</v>
      </c>
      <c r="D105" s="10">
        <v>-3262859.76</v>
      </c>
    </row>
    <row r="106" spans="1:4" x14ac:dyDescent="0.25">
      <c r="A106" s="2" t="str">
        <f>"1.3.5.01.06- ( - ) Maquinas e Equipamentos"</f>
        <v>1.3.5.01.06- ( - ) Maquinas e Equipamentos</v>
      </c>
      <c r="B106" s="10">
        <v>-155932.91</v>
      </c>
      <c r="C106" s="10">
        <v>-1489.07</v>
      </c>
      <c r="D106" s="10">
        <v>-157421.98000000001</v>
      </c>
    </row>
    <row r="107" spans="1:4" x14ac:dyDescent="0.25">
      <c r="A107" s="2" t="str">
        <f>"1.3.5.01.07- ( - ) Equipamentos de Comunicacao"</f>
        <v>1.3.5.01.07- ( - ) Equipamentos de Comunicacao</v>
      </c>
      <c r="B107" s="10">
        <v>-171972.13</v>
      </c>
      <c r="C107" s="10">
        <v>-23.66</v>
      </c>
      <c r="D107" s="10">
        <v>-171995.79</v>
      </c>
    </row>
    <row r="108" spans="1:4" x14ac:dyDescent="0.25">
      <c r="A108" s="2" t="str">
        <f>"1.3.5.01.08- ( - ) Instalacoes Operacionais"</f>
        <v>1.3.5.01.08- ( - ) Instalacoes Operacionais</v>
      </c>
      <c r="B108" s="10">
        <v>-66415.679999999993</v>
      </c>
      <c r="C108" s="10">
        <v>-272.37</v>
      </c>
      <c r="D108" s="10">
        <v>-66688.05</v>
      </c>
    </row>
    <row r="109" spans="1:4" x14ac:dyDescent="0.25">
      <c r="A109" s="2" t="str">
        <f>"1.3.5.01.09- ( - ) Programas (Softwares)"</f>
        <v>1.3.5.01.09- ( - ) Programas (Softwares)</v>
      </c>
      <c r="B109" s="10">
        <v>-28742.19</v>
      </c>
      <c r="C109" s="10">
        <v>-612.5</v>
      </c>
      <c r="D109" s="10">
        <v>-29354.69</v>
      </c>
    </row>
    <row r="110" spans="1:4" x14ac:dyDescent="0.25">
      <c r="A110" s="2" t="str">
        <f>"1.3.5.01.14- ( - ) Ferramentas"</f>
        <v>1.3.5.01.14- ( - ) Ferramentas</v>
      </c>
      <c r="B110" s="10">
        <v>-7146.13</v>
      </c>
      <c r="C110" s="10">
        <v>-56.85</v>
      </c>
      <c r="D110" s="10">
        <v>-7202.98</v>
      </c>
    </row>
    <row r="111" spans="1:4" x14ac:dyDescent="0.25">
      <c r="A111" s="2" t="str">
        <f>"1.3.5.01.15- ( - ) Imobilizacoes em Imov. Terceiros"</f>
        <v>1.3.5.01.15- ( - ) Imobilizacoes em Imov. Terceiros</v>
      </c>
      <c r="B111" s="10">
        <v>-1099636.49</v>
      </c>
      <c r="C111" s="10">
        <v>-5579.75</v>
      </c>
      <c r="D111" s="10">
        <v>-1105216.24</v>
      </c>
    </row>
    <row r="112" spans="1:4" x14ac:dyDescent="0.25">
      <c r="A112" s="2" t="str">
        <f>""</f>
        <v/>
      </c>
      <c r="B112" s="3" t="str">
        <f>""</f>
        <v/>
      </c>
      <c r="C112" s="3" t="str">
        <f>""</f>
        <v/>
      </c>
      <c r="D112" s="3" t="str">
        <f>""</f>
        <v/>
      </c>
    </row>
    <row r="113" spans="1:4" x14ac:dyDescent="0.25">
      <c r="A113" s="2" t="str">
        <f>"PASSIVO"</f>
        <v>PASSIVO</v>
      </c>
      <c r="B113" s="3" t="str">
        <f>""</f>
        <v/>
      </c>
      <c r="C113" s="3" t="str">
        <f>""</f>
        <v/>
      </c>
      <c r="D113" s="3" t="str">
        <f>""</f>
        <v/>
      </c>
    </row>
    <row r="114" spans="1:4" x14ac:dyDescent="0.25">
      <c r="A114" s="2" t="str">
        <f>"2.0.0.00.00- PASSIVO"</f>
        <v>2.0.0.00.00- PASSIVO</v>
      </c>
      <c r="B114" s="10">
        <v>49189018.649999999</v>
      </c>
      <c r="C114" s="10">
        <v>-1020450.59</v>
      </c>
      <c r="D114" s="10">
        <v>48168568.060000002</v>
      </c>
    </row>
    <row r="115" spans="1:4" x14ac:dyDescent="0.25">
      <c r="A115" s="2" t="str">
        <f>"2.1.0.00.00- PASSIVO CIRCULANTE"</f>
        <v>2.1.0.00.00- PASSIVO CIRCULANTE</v>
      </c>
      <c r="B115" s="10">
        <v>74132107.519999996</v>
      </c>
      <c r="C115" s="10">
        <v>-10035526.960000001</v>
      </c>
      <c r="D115" s="10">
        <v>64096580.560000002</v>
      </c>
    </row>
    <row r="116" spans="1:4" x14ac:dyDescent="0.25">
      <c r="A116" s="2" t="str">
        <f>"2.1.1.00.00- OBRIGACOES COM PESSOAL"</f>
        <v>2.1.1.00.00- OBRIGACOES COM PESSOAL</v>
      </c>
      <c r="B116" s="10">
        <v>23151663.75</v>
      </c>
      <c r="C116" s="10">
        <v>-5189017.38</v>
      </c>
      <c r="D116" s="10">
        <v>17962646.370000001</v>
      </c>
    </row>
    <row r="117" spans="1:4" x14ac:dyDescent="0.25">
      <c r="A117" s="2" t="str">
        <f>"2.1.1.01.00- SALARIOS A PAGAR"</f>
        <v>2.1.1.01.00- SALARIOS A PAGAR</v>
      </c>
      <c r="B117" s="10">
        <v>23151663.75</v>
      </c>
      <c r="C117" s="10">
        <v>-5189017.38</v>
      </c>
      <c r="D117" s="10">
        <v>17962646.370000001</v>
      </c>
    </row>
    <row r="118" spans="1:4" x14ac:dyDescent="0.25">
      <c r="A118" s="2" t="str">
        <f>"2.1.1.01.01- Salarios a Pagar"</f>
        <v>2.1.1.01.01- Salarios a Pagar</v>
      </c>
      <c r="B118" s="10">
        <v>4998413.45</v>
      </c>
      <c r="C118" s="10">
        <v>109945.48</v>
      </c>
      <c r="D118" s="10">
        <v>5108358.93</v>
      </c>
    </row>
    <row r="119" spans="1:4" x14ac:dyDescent="0.25">
      <c r="A119" s="2" t="str">
        <f>"2.1.1.01.02- Provisão 13º Salário"</f>
        <v>2.1.1.01.02- Provisão 13º Salário</v>
      </c>
      <c r="B119" s="10">
        <v>4882137.92</v>
      </c>
      <c r="C119" s="10">
        <v>-4882137.92</v>
      </c>
      <c r="D119" s="10">
        <v>0</v>
      </c>
    </row>
    <row r="120" spans="1:4" x14ac:dyDescent="0.25">
      <c r="A120" s="2" t="str">
        <f>"2.1.1.01.03- Ferias a pagar"</f>
        <v>2.1.1.01.03- Ferias a pagar</v>
      </c>
      <c r="B120" s="10">
        <v>110683.24</v>
      </c>
      <c r="C120" s="10">
        <v>242295.31</v>
      </c>
      <c r="D120" s="10">
        <v>352978.55</v>
      </c>
    </row>
    <row r="121" spans="1:4" x14ac:dyDescent="0.25">
      <c r="A121" s="2" t="str">
        <f>"2.1.1.01.05- Rescisoes a Pagar"</f>
        <v>2.1.1.01.05- Rescisoes a Pagar</v>
      </c>
      <c r="B121" s="10">
        <v>294</v>
      </c>
      <c r="C121" s="10">
        <v>616</v>
      </c>
      <c r="D121" s="10">
        <v>910</v>
      </c>
    </row>
    <row r="122" spans="1:4" x14ac:dyDescent="0.25">
      <c r="A122" s="2" t="str">
        <f>"2.1.1.01.09- Provisao de Ferias"</f>
        <v>2.1.1.01.09- Provisao de Ferias</v>
      </c>
      <c r="B122" s="10">
        <v>7290354.8200000003</v>
      </c>
      <c r="C122" s="10">
        <v>298128.03999999998</v>
      </c>
      <c r="D122" s="10">
        <v>7588482.8600000003</v>
      </c>
    </row>
    <row r="123" spans="1:4" x14ac:dyDescent="0.25">
      <c r="A123" s="2" t="str">
        <f>"2.1.1.01.11- Indenizações trabalhistas - ACT"</f>
        <v>2.1.1.01.11- Indenizações trabalhistas - ACT</v>
      </c>
      <c r="B123" s="10">
        <v>5869780.3200000003</v>
      </c>
      <c r="C123" s="10">
        <v>-957864.29</v>
      </c>
      <c r="D123" s="10">
        <v>4911916.03</v>
      </c>
    </row>
    <row r="124" spans="1:4" x14ac:dyDescent="0.25">
      <c r="A124" s="2" t="str">
        <f>"2.1.2.00.00- OBRIGACOES SOCIAIS A CURTO PRAZO"</f>
        <v>2.1.2.00.00- OBRIGACOES SOCIAIS A CURTO PRAZO</v>
      </c>
      <c r="B124" s="10">
        <v>8146142.79</v>
      </c>
      <c r="C124" s="10">
        <v>-1778320.89</v>
      </c>
      <c r="D124" s="10">
        <v>6367821.9000000004</v>
      </c>
    </row>
    <row r="125" spans="1:4" x14ac:dyDescent="0.25">
      <c r="A125" s="2" t="str">
        <f>"2.1.2.01.00- OBRIGACOES SOCIAIS A RECOLHER"</f>
        <v>2.1.2.01.00- OBRIGACOES SOCIAIS A RECOLHER</v>
      </c>
      <c r="B125" s="10">
        <v>8146142.79</v>
      </c>
      <c r="C125" s="10">
        <v>-1778320.89</v>
      </c>
      <c r="D125" s="10">
        <v>6367821.9000000004</v>
      </c>
    </row>
    <row r="126" spans="1:4" x14ac:dyDescent="0.25">
      <c r="A126" s="2" t="str">
        <f>"2.1.2.01.01- INSS a recolher s/Folha Pagto"</f>
        <v>2.1.2.01.01- INSS a recolher s/Folha Pagto</v>
      </c>
      <c r="B126" s="10">
        <v>2395977.44</v>
      </c>
      <c r="C126" s="10">
        <v>-153091.43</v>
      </c>
      <c r="D126" s="10">
        <v>2242886.0099999998</v>
      </c>
    </row>
    <row r="127" spans="1:4" x14ac:dyDescent="0.25">
      <c r="A127" s="2" t="str">
        <f>"2.1.2.01.02- FGTS a recolher s/Folha Pagto"</f>
        <v>2.1.2.01.02- FGTS a recolher s/Folha Pagto</v>
      </c>
      <c r="B127" s="10">
        <v>544036.5</v>
      </c>
      <c r="C127" s="10">
        <v>208333.77</v>
      </c>
      <c r="D127" s="10">
        <v>752370.27</v>
      </c>
    </row>
    <row r="128" spans="1:4" x14ac:dyDescent="0.25">
      <c r="A128" s="2" t="str">
        <f>"2.1.2.01.05- Contribuicao Sindical"</f>
        <v>2.1.2.01.05- Contribuicao Sindical</v>
      </c>
      <c r="B128" s="10">
        <v>16252.96</v>
      </c>
      <c r="C128" s="10">
        <v>-8170.83</v>
      </c>
      <c r="D128" s="10">
        <v>8082.13</v>
      </c>
    </row>
    <row r="129" spans="1:4" x14ac:dyDescent="0.25">
      <c r="A129" s="2" t="str">
        <f>"2.1.2.01.06- INSS s/Provisao de Ferias"</f>
        <v>2.1.2.01.06- INSS s/Provisao de Ferias</v>
      </c>
      <c r="B129" s="10">
        <v>2119979.06</v>
      </c>
      <c r="C129" s="10">
        <v>87847.64</v>
      </c>
      <c r="D129" s="10">
        <v>2207826.7000000002</v>
      </c>
    </row>
    <row r="130" spans="1:4" x14ac:dyDescent="0.25">
      <c r="A130" s="2" t="str">
        <f>"2.1.2.01.07- AEB - Assoc. Empreg. BHTRANS"</f>
        <v>2.1.2.01.07- AEB - Assoc. Empreg. BHTRANS</v>
      </c>
      <c r="B130" s="10">
        <v>4785.45</v>
      </c>
      <c r="C130" s="10">
        <v>75.010000000000005</v>
      </c>
      <c r="D130" s="10">
        <v>4860.46</v>
      </c>
    </row>
    <row r="131" spans="1:4" x14ac:dyDescent="0.25">
      <c r="A131" s="2" t="str">
        <f>"2.1.2.01.09- INSS a Recolher s/Autonomos"</f>
        <v>2.1.2.01.09- INSS a Recolher s/Autonomos</v>
      </c>
      <c r="B131" s="10">
        <v>0</v>
      </c>
      <c r="C131" s="10">
        <v>3200.87</v>
      </c>
      <c r="D131" s="10">
        <v>3200.87</v>
      </c>
    </row>
    <row r="132" spans="1:4" x14ac:dyDescent="0.25">
      <c r="A132" s="2" t="str">
        <f>"2.1.2.01.10- INSS s/Provisao de 13.Salario"</f>
        <v>2.1.2.01.10- INSS s/Provisao de 13.Salario</v>
      </c>
      <c r="B132" s="10">
        <v>1423848.87</v>
      </c>
      <c r="C132" s="10">
        <v>-1423848.87</v>
      </c>
      <c r="D132" s="10">
        <v>0</v>
      </c>
    </row>
    <row r="133" spans="1:4" x14ac:dyDescent="0.25">
      <c r="A133" s="2" t="str">
        <f>"2.1.2.01.11- FGTS s/Provisao de 13.Salario"</f>
        <v>2.1.2.01.11- FGTS s/Provisao de 13.Salario</v>
      </c>
      <c r="B133" s="10">
        <v>190132.37</v>
      </c>
      <c r="C133" s="10">
        <v>-190132.37</v>
      </c>
      <c r="D133" s="10">
        <v>0</v>
      </c>
    </row>
    <row r="134" spans="1:4" x14ac:dyDescent="0.25">
      <c r="A134" s="2" t="str">
        <f>"2.1.2.01.12- FGTS s/Provisao de Ferias"</f>
        <v>2.1.2.01.12- FGTS s/Provisao de Ferias</v>
      </c>
      <c r="B134" s="10">
        <v>582112.94999999995</v>
      </c>
      <c r="C134" s="10">
        <v>23824.37</v>
      </c>
      <c r="D134" s="10">
        <v>605937.31999999995</v>
      </c>
    </row>
    <row r="135" spans="1:4" x14ac:dyDescent="0.25">
      <c r="A135" s="2" t="str">
        <f>"2.1.2.01.13- Contribuicao ao PAMEH"</f>
        <v>2.1.2.01.13- Contribuicao ao PAMEH</v>
      </c>
      <c r="B135" s="10">
        <v>456442.76</v>
      </c>
      <c r="C135" s="10">
        <v>9144.49</v>
      </c>
      <c r="D135" s="10">
        <v>465587.25</v>
      </c>
    </row>
    <row r="136" spans="1:4" x14ac:dyDescent="0.25">
      <c r="A136" s="2" t="str">
        <f>"2.1.2.01.15- Crediserv-BH"</f>
        <v>2.1.2.01.15- Crediserv-BH</v>
      </c>
      <c r="B136" s="10">
        <v>19649.55</v>
      </c>
      <c r="C136" s="10">
        <v>-587.91999999999996</v>
      </c>
      <c r="D136" s="10">
        <v>19061.63</v>
      </c>
    </row>
    <row r="137" spans="1:4" x14ac:dyDescent="0.25">
      <c r="A137" s="2" t="str">
        <f>"2.1.2.01.16- INSS Fonte a Recolher - PJ"</f>
        <v>2.1.2.01.16- INSS Fonte a Recolher - PJ</v>
      </c>
      <c r="B137" s="10">
        <v>390703.42</v>
      </c>
      <c r="C137" s="10">
        <v>-334839.76</v>
      </c>
      <c r="D137" s="10">
        <v>55863.66</v>
      </c>
    </row>
    <row r="138" spans="1:4" x14ac:dyDescent="0.25">
      <c r="A138" s="2" t="str">
        <f>"2.1.2.01.18- INSS Fonte a Recolher - P F"</f>
        <v>2.1.2.01.18- INSS Fonte a Recolher - P F</v>
      </c>
      <c r="B138" s="10">
        <v>1681.46</v>
      </c>
      <c r="C138" s="10">
        <v>-65.86</v>
      </c>
      <c r="D138" s="10">
        <v>1615.6</v>
      </c>
    </row>
    <row r="139" spans="1:4" x14ac:dyDescent="0.25">
      <c r="A139" s="2" t="str">
        <f>"2.1.2.01.19- ASFIM - PBH"</f>
        <v>2.1.2.01.19- ASFIM - PBH</v>
      </c>
      <c r="B139" s="10">
        <v>540</v>
      </c>
      <c r="C139" s="10">
        <v>-10</v>
      </c>
      <c r="D139" s="10">
        <v>530</v>
      </c>
    </row>
    <row r="140" spans="1:4" x14ac:dyDescent="0.25">
      <c r="A140" s="2" t="str">
        <f>"2.1.3.00.00- OBRIGACOES FISCAIS A CURTO PRAZO"</f>
        <v>2.1.3.00.00- OBRIGACOES FISCAIS A CURTO PRAZO</v>
      </c>
      <c r="B140" s="10">
        <v>1718076.64</v>
      </c>
      <c r="C140" s="10">
        <v>671218.12</v>
      </c>
      <c r="D140" s="10">
        <v>2389294.7599999998</v>
      </c>
    </row>
    <row r="141" spans="1:4" x14ac:dyDescent="0.25">
      <c r="A141" s="2" t="str">
        <f>"2.1.3.01.00- IMPOSTOS E TAXAS A RECOLHER"</f>
        <v>2.1.3.01.00- IMPOSTOS E TAXAS A RECOLHER</v>
      </c>
      <c r="B141" s="10">
        <v>1718076.64</v>
      </c>
      <c r="C141" s="10">
        <v>671218.12</v>
      </c>
      <c r="D141" s="10">
        <v>2389294.7599999998</v>
      </c>
    </row>
    <row r="142" spans="1:4" x14ac:dyDescent="0.25">
      <c r="A142" s="2" t="str">
        <f>"2.1.3.01.01- IRRF Fonte Folha Pagto"</f>
        <v>2.1.3.01.01- IRRF Fonte Folha Pagto</v>
      </c>
      <c r="B142" s="10">
        <v>720163.66</v>
      </c>
      <c r="C142" s="10">
        <v>725384.95</v>
      </c>
      <c r="D142" s="10">
        <v>1445548.61</v>
      </c>
    </row>
    <row r="143" spans="1:4" x14ac:dyDescent="0.25">
      <c r="A143" s="2" t="str">
        <f>"2.1.3.01.03- IRRF Fonte - Pessoa  Juridica e Física"</f>
        <v>2.1.3.01.03- IRRF Fonte - Pessoa  Juridica e Física</v>
      </c>
      <c r="B143" s="10">
        <v>38010.050000000003</v>
      </c>
      <c r="C143" s="10">
        <v>-31413.01</v>
      </c>
      <c r="D143" s="10">
        <v>6597.04</v>
      </c>
    </row>
    <row r="144" spans="1:4" x14ac:dyDescent="0.25">
      <c r="A144" s="2" t="str">
        <f>"2.1.3.01.04- ISS Retido Fonte PF"</f>
        <v>2.1.3.01.04- ISS Retido Fonte PF</v>
      </c>
      <c r="B144" s="10">
        <v>405</v>
      </c>
      <c r="C144" s="10">
        <v>-90</v>
      </c>
      <c r="D144" s="10">
        <v>315</v>
      </c>
    </row>
    <row r="145" spans="1:4" x14ac:dyDescent="0.25">
      <c r="A145" s="2" t="str">
        <f>"2.1.3.01.05- ISS S/ Faturamento"</f>
        <v>2.1.3.01.05- ISS S/ Faturamento</v>
      </c>
      <c r="B145" s="10">
        <v>2545.2399999999998</v>
      </c>
      <c r="C145" s="10">
        <v>-88.9</v>
      </c>
      <c r="D145" s="10">
        <v>2456.34</v>
      </c>
    </row>
    <row r="146" spans="1:4" x14ac:dyDescent="0.25">
      <c r="A146" s="2" t="str">
        <f>"2.1.3.01.07- COFINS a Recolher"</f>
        <v>2.1.3.01.07- COFINS a Recolher</v>
      </c>
      <c r="B146" s="10">
        <v>630452.56000000006</v>
      </c>
      <c r="C146" s="10">
        <v>95913.17</v>
      </c>
      <c r="D146" s="10">
        <v>726365.73</v>
      </c>
    </row>
    <row r="147" spans="1:4" x14ac:dyDescent="0.25">
      <c r="A147" s="2" t="str">
        <f>"2.1.3.01.08- PIS a Recolher"</f>
        <v>2.1.3.01.08- PIS a Recolher</v>
      </c>
      <c r="B147" s="10">
        <v>136586.81</v>
      </c>
      <c r="C147" s="10">
        <v>20942.09</v>
      </c>
      <c r="D147" s="10">
        <v>157528.9</v>
      </c>
    </row>
    <row r="148" spans="1:4" x14ac:dyDescent="0.25">
      <c r="A148" s="2" t="str">
        <f>"2.1.3.01.09- ISS Fonte a Recolher P.Juridica"</f>
        <v>2.1.3.01.09- ISS Fonte a Recolher P.Juridica</v>
      </c>
      <c r="B148" s="10">
        <v>5388.71</v>
      </c>
      <c r="C148" s="10">
        <v>4.9800000000000004</v>
      </c>
      <c r="D148" s="10">
        <v>5393.69</v>
      </c>
    </row>
    <row r="149" spans="1:4" x14ac:dyDescent="0.25">
      <c r="A149" s="2" t="str">
        <f>"2.1.3.01.12- CSLL-COFINS-PIS - FONTE"</f>
        <v>2.1.3.01.12- CSLL-COFINS-PIS - FONTE</v>
      </c>
      <c r="B149" s="10">
        <v>184524.61</v>
      </c>
      <c r="C149" s="10">
        <v>-139435.16</v>
      </c>
      <c r="D149" s="10">
        <v>45089.45</v>
      </c>
    </row>
    <row r="150" spans="1:4" x14ac:dyDescent="0.25">
      <c r="A150" s="2" t="str">
        <f>"2.1.4.00.00- OUTRAS OBRIGACOES A CURTO PRAZO"</f>
        <v>2.1.4.00.00- OUTRAS OBRIGACOES A CURTO PRAZO</v>
      </c>
      <c r="B150" s="10">
        <v>40996154.409999996</v>
      </c>
      <c r="C150" s="10">
        <v>-3668198.6</v>
      </c>
      <c r="D150" s="10">
        <v>37327955.810000002</v>
      </c>
    </row>
    <row r="151" spans="1:4" x14ac:dyDescent="0.25">
      <c r="A151" s="2" t="str">
        <f>"2.1.4.01.00- FORNECEDORES"</f>
        <v>2.1.4.01.00- FORNECEDORES</v>
      </c>
      <c r="B151" s="10">
        <v>4539502.0199999996</v>
      </c>
      <c r="C151" s="10">
        <v>-2273935.9300000002</v>
      </c>
      <c r="D151" s="10">
        <v>2265566.09</v>
      </c>
    </row>
    <row r="152" spans="1:4" x14ac:dyDescent="0.25">
      <c r="A152" s="2" t="str">
        <f>"2.1.4.01.99- Fornecedores"</f>
        <v>2.1.4.01.99- Fornecedores</v>
      </c>
      <c r="B152" s="10">
        <v>4539502.0199999996</v>
      </c>
      <c r="C152" s="10">
        <v>-2273935.9300000002</v>
      </c>
      <c r="D152" s="10">
        <v>2265566.09</v>
      </c>
    </row>
    <row r="153" spans="1:4" x14ac:dyDescent="0.25">
      <c r="A153" s="2" t="str">
        <f>"2.1.4.02.00- CONTAS A PAGAR"</f>
        <v>2.1.4.02.00- CONTAS A PAGAR</v>
      </c>
      <c r="B153" s="10">
        <v>292275.26</v>
      </c>
      <c r="C153" s="10">
        <v>9926.3700000000008</v>
      </c>
      <c r="D153" s="10">
        <v>302201.63</v>
      </c>
    </row>
    <row r="154" spans="1:4" x14ac:dyDescent="0.25">
      <c r="A154" s="2" t="str">
        <f>"2.1.4.02.01- Emprestimo Consignado - Bradesco"</f>
        <v>2.1.4.02.01- Emprestimo Consignado - Bradesco</v>
      </c>
      <c r="B154" s="10">
        <v>98324.68</v>
      </c>
      <c r="C154" s="10">
        <v>8480.2900000000009</v>
      </c>
      <c r="D154" s="10">
        <v>106804.97</v>
      </c>
    </row>
    <row r="155" spans="1:4" x14ac:dyDescent="0.25">
      <c r="A155" s="2" t="str">
        <f>"2.1.4.02.03- Emprestimo Consignado - CEF"</f>
        <v>2.1.4.02.03- Emprestimo Consignado - CEF</v>
      </c>
      <c r="B155" s="10">
        <v>31523.09</v>
      </c>
      <c r="C155" s="10">
        <v>62.95</v>
      </c>
      <c r="D155" s="10">
        <v>31586.04</v>
      </c>
    </row>
    <row r="156" spans="1:4" x14ac:dyDescent="0.25">
      <c r="A156" s="2" t="str">
        <f>"2.1.4.02.04- Emprestimo Consignado - B.Brasil"</f>
        <v>2.1.4.02.04- Emprestimo Consignado - B.Brasil</v>
      </c>
      <c r="B156" s="10">
        <v>54115.82</v>
      </c>
      <c r="C156" s="10">
        <v>-2626.83</v>
      </c>
      <c r="D156" s="10">
        <v>51488.99</v>
      </c>
    </row>
    <row r="157" spans="1:4" x14ac:dyDescent="0.25">
      <c r="A157" s="2" t="str">
        <f>"2.1.4.02.05- Emprestimo Consignado-Banco Alfa"</f>
        <v>2.1.4.02.05- Emprestimo Consignado-Banco Alfa</v>
      </c>
      <c r="B157" s="10">
        <v>70201.63</v>
      </c>
      <c r="C157" s="10">
        <v>-1060.67</v>
      </c>
      <c r="D157" s="10">
        <v>69140.960000000006</v>
      </c>
    </row>
    <row r="158" spans="1:4" x14ac:dyDescent="0.25">
      <c r="A158" s="2" t="str">
        <f>"2.1.4.02.07- Emprestimo Consignado - B. Safra"</f>
        <v>2.1.4.02.07- Emprestimo Consignado - B. Safra</v>
      </c>
      <c r="B158" s="10">
        <v>17206.96</v>
      </c>
      <c r="C158" s="10">
        <v>-426.25</v>
      </c>
      <c r="D158" s="10">
        <v>16780.71</v>
      </c>
    </row>
    <row r="159" spans="1:4" x14ac:dyDescent="0.25">
      <c r="A159" s="2" t="str">
        <f>"2.1.4.02.08- Emprestimo Consignado - BMG"</f>
        <v>2.1.4.02.08- Emprestimo Consignado - BMG</v>
      </c>
      <c r="B159" s="10">
        <v>141.55000000000001</v>
      </c>
      <c r="C159" s="10">
        <v>0</v>
      </c>
      <c r="D159" s="10">
        <v>141.55000000000001</v>
      </c>
    </row>
    <row r="160" spans="1:4" x14ac:dyDescent="0.25">
      <c r="A160" s="2" t="str">
        <f>"2.1.4.02.09- Emprestimo Consignado - BMC"</f>
        <v>2.1.4.02.09- Emprestimo Consignado - BMC</v>
      </c>
      <c r="B160" s="10">
        <v>877.23</v>
      </c>
      <c r="C160" s="10">
        <v>0</v>
      </c>
      <c r="D160" s="10">
        <v>877.23</v>
      </c>
    </row>
    <row r="161" spans="1:4" x14ac:dyDescent="0.25">
      <c r="A161" s="2" t="str">
        <f>"2.1.4.02.10- Cartão - BMG Card"</f>
        <v>2.1.4.02.10- Cartão - BMG Card</v>
      </c>
      <c r="B161" s="10">
        <v>8186.64</v>
      </c>
      <c r="C161" s="10">
        <v>659.86</v>
      </c>
      <c r="D161" s="10">
        <v>8846.5</v>
      </c>
    </row>
    <row r="162" spans="1:4" x14ac:dyDescent="0.25">
      <c r="A162" s="2" t="str">
        <f>"2.1.4.02.11- Contrib.Entid.Classe"</f>
        <v>2.1.4.02.11- Contrib.Entid.Classe</v>
      </c>
      <c r="B162" s="10">
        <v>0</v>
      </c>
      <c r="C162" s="10">
        <v>458.26</v>
      </c>
      <c r="D162" s="10">
        <v>458.26</v>
      </c>
    </row>
    <row r="163" spans="1:4" x14ac:dyDescent="0.25">
      <c r="A163" s="2" t="str">
        <f>"2.1.4.02.12- Custas judiciais"</f>
        <v>2.1.4.02.12- Custas judiciais</v>
      </c>
      <c r="B163" s="10">
        <v>308</v>
      </c>
      <c r="C163" s="10">
        <v>-308</v>
      </c>
      <c r="D163" s="10">
        <v>0</v>
      </c>
    </row>
    <row r="164" spans="1:4" x14ac:dyDescent="0.25">
      <c r="A164" s="2" t="str">
        <f>"2.1.4.02.99- Contas a Pagar"</f>
        <v>2.1.4.02.99- Contas a Pagar</v>
      </c>
      <c r="B164" s="10">
        <v>11389.66</v>
      </c>
      <c r="C164" s="10">
        <v>4686.76</v>
      </c>
      <c r="D164" s="10">
        <v>16076.42</v>
      </c>
    </row>
    <row r="165" spans="1:4" x14ac:dyDescent="0.25">
      <c r="A165" s="2" t="str">
        <f>"2.1.4.03.00- CREDORES DIVERSOS"</f>
        <v>2.1.4.03.00- CREDORES DIVERSOS</v>
      </c>
      <c r="B165" s="10">
        <v>35605902.009999998</v>
      </c>
      <c r="C165" s="10">
        <v>-1404189.04</v>
      </c>
      <c r="D165" s="10">
        <v>34201712.969999999</v>
      </c>
    </row>
    <row r="166" spans="1:4" x14ac:dyDescent="0.25">
      <c r="A166" s="2" t="str">
        <f>"2.1.4.03.07- Adiantamento Acionista - Municipio BH"</f>
        <v>2.1.4.03.07- Adiantamento Acionista - Municipio BH</v>
      </c>
      <c r="B166" s="10">
        <v>34624749.979999997</v>
      </c>
      <c r="C166" s="10">
        <v>-1452310.14</v>
      </c>
      <c r="D166" s="10">
        <v>33172439.84</v>
      </c>
    </row>
    <row r="167" spans="1:4" x14ac:dyDescent="0.25">
      <c r="A167" s="2" t="str">
        <f>"2.1.4.03.17- Adiantamento de Clientes"</f>
        <v>2.1.4.03.17- Adiantamento de Clientes</v>
      </c>
      <c r="B167" s="10">
        <v>981152.03</v>
      </c>
      <c r="C167" s="10">
        <v>48121.1</v>
      </c>
      <c r="D167" s="10">
        <v>1029273.13</v>
      </c>
    </row>
    <row r="168" spans="1:4" x14ac:dyDescent="0.25">
      <c r="A168" s="2" t="str">
        <f>"2.1.4.04.00- CAUCAO DE TERCEIROS/LEILAO"</f>
        <v>2.1.4.04.00- CAUCAO DE TERCEIROS/LEILAO</v>
      </c>
      <c r="B168" s="10">
        <v>558475.12</v>
      </c>
      <c r="C168" s="10">
        <v>0</v>
      </c>
      <c r="D168" s="10">
        <v>558475.12</v>
      </c>
    </row>
    <row r="169" spans="1:4" x14ac:dyDescent="0.25">
      <c r="A169" s="2" t="str">
        <f>"2.1.4.04.98- Leilões"</f>
        <v>2.1.4.04.98- Leilões</v>
      </c>
      <c r="B169" s="10">
        <v>371865.58</v>
      </c>
      <c r="C169" s="10">
        <v>0</v>
      </c>
      <c r="D169" s="10">
        <v>371865.58</v>
      </c>
    </row>
    <row r="170" spans="1:4" x14ac:dyDescent="0.25">
      <c r="A170" s="2" t="str">
        <f>"2.1.4.04.99- Caucao de Terceiros"</f>
        <v>2.1.4.04.99- Caucao de Terceiros</v>
      </c>
      <c r="B170" s="10">
        <v>186609.54</v>
      </c>
      <c r="C170" s="10">
        <v>0</v>
      </c>
      <c r="D170" s="10">
        <v>186609.54</v>
      </c>
    </row>
    <row r="171" spans="1:4" x14ac:dyDescent="0.25">
      <c r="A171" s="2" t="str">
        <f>"2.1.6.00.00- OBRIGACOES VINC. A PAGAR-PAMEH"</f>
        <v>2.1.6.00.00- OBRIGACOES VINC. A PAGAR-PAMEH</v>
      </c>
      <c r="B171" s="10">
        <v>120069.93</v>
      </c>
      <c r="C171" s="10">
        <v>-71208.210000000006</v>
      </c>
      <c r="D171" s="10">
        <v>48861.72</v>
      </c>
    </row>
    <row r="172" spans="1:4" x14ac:dyDescent="0.25">
      <c r="A172" s="2" t="str">
        <f>"2.1.6.01.00- OBRIGACOES VINC. -PAMEH"</f>
        <v>2.1.6.01.00- OBRIGACOES VINC. -PAMEH</v>
      </c>
      <c r="B172" s="10">
        <v>120069.93</v>
      </c>
      <c r="C172" s="10">
        <v>-71208.210000000006</v>
      </c>
      <c r="D172" s="10">
        <v>48861.72</v>
      </c>
    </row>
    <row r="173" spans="1:4" x14ac:dyDescent="0.25">
      <c r="A173" s="2" t="str">
        <f>"2.1.6.01.01- Obrigacoes Vinculadas - PAMEH"</f>
        <v>2.1.6.01.01- Obrigacoes Vinculadas - PAMEH</v>
      </c>
      <c r="B173" s="10">
        <v>120069.93</v>
      </c>
      <c r="C173" s="10">
        <v>-71208.210000000006</v>
      </c>
      <c r="D173" s="10">
        <v>48861.72</v>
      </c>
    </row>
    <row r="174" spans="1:4" x14ac:dyDescent="0.25">
      <c r="A174" s="2" t="str">
        <f>"2.2.0.00.00- PASSIVO NAO CIRCULANTE"</f>
        <v>2.2.0.00.00- PASSIVO NAO CIRCULANTE</v>
      </c>
      <c r="B174" s="10">
        <v>39036725.289999999</v>
      </c>
      <c r="C174" s="10">
        <v>9035649.0899999999</v>
      </c>
      <c r="D174" s="10">
        <v>48072374.380000003</v>
      </c>
    </row>
    <row r="175" spans="1:4" x14ac:dyDescent="0.25">
      <c r="A175" s="2" t="str">
        <f>"2.2.4.00.00- OUTRAS OBRIGACOES A LONGO PRAZO"</f>
        <v>2.2.4.00.00- OUTRAS OBRIGACOES A LONGO PRAZO</v>
      </c>
      <c r="B175" s="10">
        <v>35503038.340000004</v>
      </c>
      <c r="C175" s="10">
        <v>9091028.5299999993</v>
      </c>
      <c r="D175" s="10">
        <v>44594066.869999997</v>
      </c>
    </row>
    <row r="176" spans="1:4" x14ac:dyDescent="0.25">
      <c r="A176" s="2" t="str">
        <f>"2.2.4.01.00- CREDORES DIVERSOS"</f>
        <v>2.2.4.01.00- CREDORES DIVERSOS</v>
      </c>
      <c r="B176" s="10">
        <v>15048557.66</v>
      </c>
      <c r="C176" s="10">
        <v>-4180000</v>
      </c>
      <c r="D176" s="10">
        <v>10868557.66</v>
      </c>
    </row>
    <row r="177" spans="1:4" x14ac:dyDescent="0.25">
      <c r="A177" s="2" t="str">
        <f>"2.2.4.01.04- Provisão para Contingências Fiscais"</f>
        <v>2.2.4.01.04- Provisão para Contingências Fiscais</v>
      </c>
      <c r="B177" s="10">
        <v>14106702.720000001</v>
      </c>
      <c r="C177" s="10">
        <v>-4180000</v>
      </c>
      <c r="D177" s="10">
        <v>9926702.7200000007</v>
      </c>
    </row>
    <row r="178" spans="1:4" x14ac:dyDescent="0.25">
      <c r="A178" s="2" t="str">
        <f>"2.2.4.01.05- INSS Segurados"</f>
        <v>2.2.4.01.05- INSS Segurados</v>
      </c>
      <c r="B178" s="10">
        <v>941854.94</v>
      </c>
      <c r="C178" s="10">
        <v>0</v>
      </c>
      <c r="D178" s="10">
        <v>941854.94</v>
      </c>
    </row>
    <row r="179" spans="1:4" x14ac:dyDescent="0.25">
      <c r="A179" s="2" t="str">
        <f>"2.2.4.04.00- ACOES JUDICIAIS E TRABALHISTAS"</f>
        <v>2.2.4.04.00- ACOES JUDICIAIS E TRABALHISTAS</v>
      </c>
      <c r="B179" s="10">
        <v>20454480.68</v>
      </c>
      <c r="C179" s="10">
        <v>13271028.529999999</v>
      </c>
      <c r="D179" s="10">
        <v>33725509.210000001</v>
      </c>
    </row>
    <row r="180" spans="1:4" x14ac:dyDescent="0.25">
      <c r="A180" s="2" t="str">
        <f>"2.2.4.04.01- Acoes judiciais"</f>
        <v>2.2.4.04.01- Acoes judiciais</v>
      </c>
      <c r="B180" s="10">
        <v>16362044.619999999</v>
      </c>
      <c r="C180" s="10">
        <v>131964.59</v>
      </c>
      <c r="D180" s="10">
        <v>16494009.210000001</v>
      </c>
    </row>
    <row r="181" spans="1:4" x14ac:dyDescent="0.25">
      <c r="A181" s="2" t="str">
        <f>"2.2.4.04.02- Acoes trabalhistas"</f>
        <v>2.2.4.04.02- Acoes trabalhistas</v>
      </c>
      <c r="B181" s="10">
        <v>4092436.06</v>
      </c>
      <c r="C181" s="10">
        <v>13139063.939999999</v>
      </c>
      <c r="D181" s="10">
        <v>17231500</v>
      </c>
    </row>
    <row r="182" spans="1:4" x14ac:dyDescent="0.25">
      <c r="A182" s="2" t="str">
        <f>"2.2.5.00.00- OBRIGACOES VINC.  AO PAMEH"</f>
        <v>2.2.5.00.00- OBRIGACOES VINC.  AO PAMEH</v>
      </c>
      <c r="B182" s="10">
        <v>3533686.95</v>
      </c>
      <c r="C182" s="10">
        <v>-55379.44</v>
      </c>
      <c r="D182" s="10">
        <v>3478307.51</v>
      </c>
    </row>
    <row r="183" spans="1:4" x14ac:dyDescent="0.25">
      <c r="A183" s="2" t="str">
        <f>"2.2.5.01.00- OBRIGACOES VINC.  AO PAMEH"</f>
        <v>2.2.5.01.00- OBRIGACOES VINC.  AO PAMEH</v>
      </c>
      <c r="B183" s="10">
        <v>3533686.95</v>
      </c>
      <c r="C183" s="10">
        <v>-55379.44</v>
      </c>
      <c r="D183" s="10">
        <v>3478307.51</v>
      </c>
    </row>
    <row r="184" spans="1:4" x14ac:dyDescent="0.25">
      <c r="A184" s="2" t="str">
        <f>"2.2.5.01.01- Resultado Exerc.Anteriores-PAMEH"</f>
        <v>2.2.5.01.01- Resultado Exerc.Anteriores-PAMEH</v>
      </c>
      <c r="B184" s="10">
        <v>3457128.18</v>
      </c>
      <c r="C184" s="10">
        <v>0</v>
      </c>
      <c r="D184" s="10">
        <v>3457128.18</v>
      </c>
    </row>
    <row r="185" spans="1:4" x14ac:dyDescent="0.25">
      <c r="A185" s="2" t="str">
        <f>"2.2.5.01.02- Resultado deste Exercicio-PAMEH"</f>
        <v>2.2.5.01.02- Resultado deste Exercicio-PAMEH</v>
      </c>
      <c r="B185" s="10">
        <v>-1513383</v>
      </c>
      <c r="C185" s="10">
        <v>-55379.44</v>
      </c>
      <c r="D185" s="10">
        <v>-1568762.44</v>
      </c>
    </row>
    <row r="186" spans="1:4" x14ac:dyDescent="0.25">
      <c r="A186" s="2" t="str">
        <f>"2.2.5.01.03- Ajuste Exercício Anterior - PAMEH"</f>
        <v>2.2.5.01.03- Ajuste Exercício Anterior - PAMEH</v>
      </c>
      <c r="B186" s="10">
        <v>1589941.77</v>
      </c>
      <c r="C186" s="10">
        <v>0</v>
      </c>
      <c r="D186" s="10">
        <v>1589941.77</v>
      </c>
    </row>
    <row r="187" spans="1:4" x14ac:dyDescent="0.25">
      <c r="A187" s="2" t="str">
        <f>"2.4.0.00.00- PATRIMONIO LIQUIDO"</f>
        <v>2.4.0.00.00- PATRIMONIO LIQUIDO</v>
      </c>
      <c r="B187" s="10">
        <v>-63979814.159999996</v>
      </c>
      <c r="C187" s="10">
        <v>-20572.72</v>
      </c>
      <c r="D187" s="10">
        <v>-64000386.880000003</v>
      </c>
    </row>
    <row r="188" spans="1:4" x14ac:dyDescent="0.25">
      <c r="A188" s="2" t="str">
        <f>"2.4.1.00.00- CAPITAL SOCIAL"</f>
        <v>2.4.1.00.00- CAPITAL SOCIAL</v>
      </c>
      <c r="B188" s="10">
        <v>67418193.159999996</v>
      </c>
      <c r="C188" s="10">
        <v>0</v>
      </c>
      <c r="D188" s="10">
        <v>67418193.159999996</v>
      </c>
    </row>
    <row r="189" spans="1:4" x14ac:dyDescent="0.25">
      <c r="A189" s="2" t="str">
        <f>"2.4.1.02.00- CAPITAL REALIZADO"</f>
        <v>2.4.1.02.00- CAPITAL REALIZADO</v>
      </c>
      <c r="B189" s="10">
        <v>67418193.159999996</v>
      </c>
      <c r="C189" s="10">
        <v>0</v>
      </c>
      <c r="D189" s="10">
        <v>67418193.159999996</v>
      </c>
    </row>
    <row r="190" spans="1:4" x14ac:dyDescent="0.25">
      <c r="A190" s="2" t="str">
        <f>"2.4.1.02.01- Capital Subscrito"</f>
        <v>2.4.1.02.01- Capital Subscrito</v>
      </c>
      <c r="B190" s="10">
        <v>75000000</v>
      </c>
      <c r="C190" s="10">
        <v>0</v>
      </c>
      <c r="D190" s="10">
        <v>75000000</v>
      </c>
    </row>
    <row r="191" spans="1:4" x14ac:dyDescent="0.25">
      <c r="A191" s="2" t="str">
        <f>"2.4.1.02.04- Capital a Realizar"</f>
        <v>2.4.1.02.04- Capital a Realizar</v>
      </c>
      <c r="B191" s="10">
        <v>-7581806.8399999999</v>
      </c>
      <c r="C191" s="10">
        <v>0</v>
      </c>
      <c r="D191" s="10">
        <v>-7581806.8399999999</v>
      </c>
    </row>
    <row r="192" spans="1:4" x14ac:dyDescent="0.25">
      <c r="A192" s="2" t="str">
        <f>"2.4.3.00.00- RESULTADOS ACUMULADOS"</f>
        <v>2.4.3.00.00- RESULTADOS ACUMULADOS</v>
      </c>
      <c r="B192" s="10">
        <v>-131398007.31999999</v>
      </c>
      <c r="C192" s="10">
        <v>-20572.72</v>
      </c>
      <c r="D192" s="10">
        <v>-131418580.04000001</v>
      </c>
    </row>
    <row r="193" spans="1:4" x14ac:dyDescent="0.25">
      <c r="A193" s="2" t="str">
        <f>"2.4.3.01.00- LUCROS/PREJUIZOS ACUMULADOS"</f>
        <v>2.4.3.01.00- LUCROS/PREJUIZOS ACUMULADOS</v>
      </c>
      <c r="B193" s="10">
        <v>-131398007.31999999</v>
      </c>
      <c r="C193" s="10">
        <v>-20572.72</v>
      </c>
      <c r="D193" s="10">
        <v>-131418580.04000001</v>
      </c>
    </row>
    <row r="194" spans="1:4" x14ac:dyDescent="0.25">
      <c r="A194" s="2" t="str">
        <f>"2.4.3.01.01- Resultados de Exerc. Anteriores"</f>
        <v>2.4.3.01.01- Resultados de Exerc. Anteriores</v>
      </c>
      <c r="B194" s="10">
        <v>-131329846.40000001</v>
      </c>
      <c r="C194" s="10">
        <v>0</v>
      </c>
      <c r="D194" s="10">
        <v>-131329846.40000001</v>
      </c>
    </row>
    <row r="195" spans="1:4" x14ac:dyDescent="0.25">
      <c r="A195" s="2" t="str">
        <f>"2.4.3.01.03- Ajuste do Exercicio Anterior"</f>
        <v>2.4.3.01.03- Ajuste do Exercicio Anterior</v>
      </c>
      <c r="B195" s="10">
        <v>-68160.92</v>
      </c>
      <c r="C195" s="10">
        <v>-20572.72</v>
      </c>
      <c r="D195" s="10">
        <v>-88733.64</v>
      </c>
    </row>
    <row r="196" spans="1:4" x14ac:dyDescent="0.25">
      <c r="A196" s="2" t="str">
        <f>""</f>
        <v/>
      </c>
      <c r="B196" s="3" t="str">
        <f>""</f>
        <v/>
      </c>
      <c r="C196" s="3" t="str">
        <f>""</f>
        <v/>
      </c>
      <c r="D196" s="3" t="str">
        <f>""</f>
        <v/>
      </c>
    </row>
    <row r="197" spans="1:4" x14ac:dyDescent="0.25">
      <c r="A197" s="2" t="str">
        <f>""</f>
        <v/>
      </c>
      <c r="B197" s="3" t="str">
        <f>""</f>
        <v/>
      </c>
      <c r="C197" s="3" t="str">
        <f>""</f>
        <v/>
      </c>
      <c r="D197" s="3" t="str">
        <f>""</f>
        <v/>
      </c>
    </row>
    <row r="198" spans="1:4" x14ac:dyDescent="0.25">
      <c r="A198" s="2" t="str">
        <f>""</f>
        <v/>
      </c>
      <c r="B198" s="3" t="str">
        <f>""</f>
        <v/>
      </c>
      <c r="C198" s="3" t="str">
        <f>""</f>
        <v/>
      </c>
      <c r="D198" s="3" t="str">
        <f>""</f>
        <v/>
      </c>
    </row>
    <row r="199" spans="1:4" x14ac:dyDescent="0.25">
      <c r="A199" s="2" t="str">
        <f>""</f>
        <v/>
      </c>
      <c r="B199" s="3" t="str">
        <f>""</f>
        <v/>
      </c>
      <c r="C199" s="3" t="str">
        <f>""</f>
        <v/>
      </c>
      <c r="D199" s="3" t="str">
        <f>""</f>
        <v/>
      </c>
    </row>
    <row r="200" spans="1:4" x14ac:dyDescent="0.25">
      <c r="A200" s="2" t="str">
        <f>""</f>
        <v/>
      </c>
      <c r="B200" s="3" t="str">
        <f>""</f>
        <v/>
      </c>
      <c r="C200" s="3" t="str">
        <f>""</f>
        <v/>
      </c>
      <c r="D200" s="3" t="str">
        <f>""</f>
        <v/>
      </c>
    </row>
    <row r="201" spans="1:4" x14ac:dyDescent="0.25">
      <c r="A201" s="2" t="str">
        <f>""</f>
        <v/>
      </c>
      <c r="B201" s="3" t="str">
        <f>""</f>
        <v/>
      </c>
      <c r="C201" s="3" t="str">
        <f>""</f>
        <v/>
      </c>
      <c r="D201" s="3" t="str">
        <f>""</f>
        <v/>
      </c>
    </row>
    <row r="202" spans="1:4" x14ac:dyDescent="0.25">
      <c r="A202" s="2" t="str">
        <f>""</f>
        <v/>
      </c>
      <c r="B202" s="3" t="str">
        <f>""</f>
        <v/>
      </c>
      <c r="C202" s="3" t="str">
        <f>""</f>
        <v/>
      </c>
      <c r="D202" s="3" t="str">
        <f>""</f>
        <v/>
      </c>
    </row>
    <row r="203" spans="1:4" x14ac:dyDescent="0.25">
      <c r="A203" s="2" t="str">
        <f>"DESPESAS"</f>
        <v>DESPESAS</v>
      </c>
      <c r="B203" s="3" t="str">
        <f>""</f>
        <v/>
      </c>
      <c r="C203" s="3" t="str">
        <f>""</f>
        <v/>
      </c>
      <c r="D203" s="3" t="str">
        <f>""</f>
        <v/>
      </c>
    </row>
    <row r="204" spans="1:4" x14ac:dyDescent="0.25">
      <c r="A204" s="2" t="str">
        <f>"3.0.0.00.00- DESPESAS"</f>
        <v>3.0.0.00.00- DESPESAS</v>
      </c>
      <c r="B204" s="10">
        <v>142838522.88</v>
      </c>
      <c r="C204" s="10">
        <v>26801038.969999999</v>
      </c>
      <c r="D204" s="10">
        <v>169639561.84999999</v>
      </c>
    </row>
    <row r="205" spans="1:4" x14ac:dyDescent="0.25">
      <c r="A205" s="2" t="str">
        <f>"3.1.0.00.00- DESPESAS OPERACIONAIS"</f>
        <v>3.1.0.00.00- DESPESAS OPERACIONAIS</v>
      </c>
      <c r="B205" s="10">
        <v>142838522.88</v>
      </c>
      <c r="C205" s="10">
        <v>26801038.969999999</v>
      </c>
      <c r="D205" s="10">
        <v>169639561.84999999</v>
      </c>
    </row>
    <row r="206" spans="1:4" x14ac:dyDescent="0.25">
      <c r="A206" s="2" t="str">
        <f>"3.1.1.00.00- SALARIOS ADICIONAIS E HONORARIOS"</f>
        <v>3.1.1.00.00- SALARIOS ADICIONAIS E HONORARIOS</v>
      </c>
      <c r="B206" s="10">
        <v>70788649.25</v>
      </c>
      <c r="C206" s="10">
        <v>7365514.6100000003</v>
      </c>
      <c r="D206" s="10">
        <v>78154163.859999999</v>
      </c>
    </row>
    <row r="207" spans="1:4" x14ac:dyDescent="0.25">
      <c r="A207" s="2" t="str">
        <f>"3.1.1.00.01- Honorarios diretoria"</f>
        <v>3.1.1.00.01- Honorarios diretoria</v>
      </c>
      <c r="B207" s="10">
        <v>870486.58</v>
      </c>
      <c r="C207" s="10">
        <v>89146.42</v>
      </c>
      <c r="D207" s="10">
        <v>959633</v>
      </c>
    </row>
    <row r="208" spans="1:4" x14ac:dyDescent="0.25">
      <c r="A208" s="2" t="str">
        <f>"3.1.1.00.02- Honorarios conselho fiscal"</f>
        <v>3.1.1.00.02- Honorarios conselho fiscal</v>
      </c>
      <c r="B208" s="10">
        <v>58435.32</v>
      </c>
      <c r="C208" s="10">
        <v>5311.5</v>
      </c>
      <c r="D208" s="10">
        <v>63746.82</v>
      </c>
    </row>
    <row r="209" spans="1:4" x14ac:dyDescent="0.25">
      <c r="A209" s="2" t="str">
        <f>"3.1.1.00.03- Honorarios cons. administracao"</f>
        <v>3.1.1.00.03- Honorarios cons. administracao</v>
      </c>
      <c r="B209" s="10">
        <v>116768.41</v>
      </c>
      <c r="C209" s="10">
        <v>10613.71</v>
      </c>
      <c r="D209" s="10">
        <v>127382.12</v>
      </c>
    </row>
    <row r="210" spans="1:4" x14ac:dyDescent="0.25">
      <c r="A210" s="2" t="str">
        <f>"3.1.1.00.04- Salarios e adicionais"</f>
        <v>3.1.1.00.04- Salarios e adicionais</v>
      </c>
      <c r="B210" s="10">
        <v>54676350.560000002</v>
      </c>
      <c r="C210" s="10">
        <v>5617999.4400000004</v>
      </c>
      <c r="D210" s="10">
        <v>60294350</v>
      </c>
    </row>
    <row r="211" spans="1:4" x14ac:dyDescent="0.25">
      <c r="A211" s="2" t="str">
        <f>"3.1.1.00.05- Ferias e abono pecuniario"</f>
        <v>3.1.1.00.05- Ferias e abono pecuniario</v>
      </c>
      <c r="B211" s="10">
        <v>7851067.2999999998</v>
      </c>
      <c r="C211" s="10">
        <v>709014.22</v>
      </c>
      <c r="D211" s="10">
        <v>8560081.5199999996</v>
      </c>
    </row>
    <row r="212" spans="1:4" x14ac:dyDescent="0.25">
      <c r="A212" s="2" t="str">
        <f>"3.1.1.00.06- Decimo terceiro salario"</f>
        <v>3.1.1.00.06- Decimo terceiro salario</v>
      </c>
      <c r="B212" s="10">
        <v>4952053.7300000004</v>
      </c>
      <c r="C212" s="10">
        <v>916094.12</v>
      </c>
      <c r="D212" s="10">
        <v>5868147.8499999996</v>
      </c>
    </row>
    <row r="213" spans="1:4" x14ac:dyDescent="0.25">
      <c r="A213" s="2" t="str">
        <f>"3.1.1.00.07- Indenizacoes trabalhistas"</f>
        <v>3.1.1.00.07- Indenizacoes trabalhistas</v>
      </c>
      <c r="B213" s="10">
        <v>145618.84</v>
      </c>
      <c r="C213" s="10">
        <v>3270.53</v>
      </c>
      <c r="D213" s="10">
        <v>148889.37</v>
      </c>
    </row>
    <row r="214" spans="1:4" x14ac:dyDescent="0.25">
      <c r="A214" s="2" t="str">
        <f>"3.1.1.00.08- Bolsas de estagiario"</f>
        <v>3.1.1.00.08- Bolsas de estagiario</v>
      </c>
      <c r="B214" s="10">
        <v>156039.07999999999</v>
      </c>
      <c r="C214" s="10">
        <v>14064.67</v>
      </c>
      <c r="D214" s="10">
        <v>170103.75</v>
      </c>
    </row>
    <row r="215" spans="1:4" x14ac:dyDescent="0.25">
      <c r="A215" s="2" t="str">
        <f>"3.1.1.00.10- Indenizações trabalhistas - ACT"</f>
        <v>3.1.1.00.10- Indenizações trabalhistas - ACT</v>
      </c>
      <c r="B215" s="10">
        <v>1961829.43</v>
      </c>
      <c r="C215" s="10">
        <v>0</v>
      </c>
      <c r="D215" s="10">
        <v>1961829.43</v>
      </c>
    </row>
    <row r="216" spans="1:4" x14ac:dyDescent="0.25">
      <c r="A216" s="2" t="str">
        <f>"3.1.2.01.00- ENCARGOS SOCIAIS"</f>
        <v>3.1.2.01.00- ENCARGOS SOCIAIS</v>
      </c>
      <c r="B216" s="10">
        <v>30797334.739999998</v>
      </c>
      <c r="C216" s="10">
        <v>2678659.85</v>
      </c>
      <c r="D216" s="10">
        <v>33475994.59</v>
      </c>
    </row>
    <row r="217" spans="1:4" x14ac:dyDescent="0.25">
      <c r="A217" s="2" t="str">
        <f>"3.1.2.01.01- INSS"</f>
        <v>3.1.2.01.01- INSS</v>
      </c>
      <c r="B217" s="10">
        <v>24010175.309999999</v>
      </c>
      <c r="C217" s="10">
        <v>2092607.52</v>
      </c>
      <c r="D217" s="10">
        <v>26102782.829999998</v>
      </c>
    </row>
    <row r="218" spans="1:4" x14ac:dyDescent="0.25">
      <c r="A218" s="2" t="str">
        <f>"3.1.2.01.02- FGTS"</f>
        <v>3.1.2.01.02- FGTS</v>
      </c>
      <c r="B218" s="10">
        <v>6787159.4299999997</v>
      </c>
      <c r="C218" s="10">
        <v>586052.32999999996</v>
      </c>
      <c r="D218" s="10">
        <v>7373211.7599999998</v>
      </c>
    </row>
    <row r="219" spans="1:4" x14ac:dyDescent="0.25">
      <c r="A219" s="2" t="str">
        <f>"3.1.2.02.00- OUTRAS DESPESAS COM PESSOAL"</f>
        <v>3.1.2.02.00- OUTRAS DESPESAS COM PESSOAL</v>
      </c>
      <c r="B219" s="10">
        <v>13299720.92</v>
      </c>
      <c r="C219" s="10">
        <v>1294866.56</v>
      </c>
      <c r="D219" s="10">
        <v>14594587.48</v>
      </c>
    </row>
    <row r="220" spans="1:4" x14ac:dyDescent="0.25">
      <c r="A220" s="2" t="str">
        <f>"3.1.2.02.01- Seguros de Vida"</f>
        <v>3.1.2.02.01- Seguros de Vida</v>
      </c>
      <c r="B220" s="10">
        <v>159993.48000000001</v>
      </c>
      <c r="C220" s="10">
        <v>-11108.9</v>
      </c>
      <c r="D220" s="10">
        <v>148884.57999999999</v>
      </c>
    </row>
    <row r="221" spans="1:4" x14ac:dyDescent="0.25">
      <c r="A221" s="2" t="str">
        <f>"3.1.2.02.02- Ass. Medica Odontologica"</f>
        <v>3.1.2.02.02- Ass. Medica Odontologica</v>
      </c>
      <c r="B221" s="10">
        <v>3558325.64</v>
      </c>
      <c r="C221" s="10">
        <v>337529.83</v>
      </c>
      <c r="D221" s="10">
        <v>3895855.47</v>
      </c>
    </row>
    <row r="222" spans="1:4" x14ac:dyDescent="0.25">
      <c r="A222" s="2" t="str">
        <f>"3.1.2.02.03- Vale Transporte"</f>
        <v>3.1.2.02.03- Vale Transporte</v>
      </c>
      <c r="B222" s="10">
        <v>1122833.81</v>
      </c>
      <c r="C222" s="10">
        <v>116533.82</v>
      </c>
      <c r="D222" s="10">
        <v>1239367.6299999999</v>
      </c>
    </row>
    <row r="223" spans="1:4" x14ac:dyDescent="0.25">
      <c r="A223" s="2" t="str">
        <f>"3.1.2.02.04- Vale Refeicao/Alimentacao"</f>
        <v>3.1.2.02.04- Vale Refeicao/Alimentacao</v>
      </c>
      <c r="B223" s="10">
        <v>8053428.0800000001</v>
      </c>
      <c r="C223" s="10">
        <v>809105.77</v>
      </c>
      <c r="D223" s="10">
        <v>8862533.8499999996</v>
      </c>
    </row>
    <row r="224" spans="1:4" x14ac:dyDescent="0.25">
      <c r="A224" s="2" t="str">
        <f>"3.1.2.02.05- Compl. Auxilio Doenca"</f>
        <v>3.1.2.02.05- Compl. Auxilio Doenca</v>
      </c>
      <c r="B224" s="10">
        <v>154301.31</v>
      </c>
      <c r="C224" s="10">
        <v>12215.4</v>
      </c>
      <c r="D224" s="10">
        <v>166516.71</v>
      </c>
    </row>
    <row r="225" spans="1:4" x14ac:dyDescent="0.25">
      <c r="A225" s="2" t="str">
        <f>"3.1.2.02.06- Cursos e Treinamentos"</f>
        <v>3.1.2.02.06- Cursos e Treinamentos</v>
      </c>
      <c r="B225" s="10">
        <v>15716</v>
      </c>
      <c r="C225" s="10">
        <v>8833.7000000000007</v>
      </c>
      <c r="D225" s="10">
        <v>24549.7</v>
      </c>
    </row>
    <row r="226" spans="1:4" x14ac:dyDescent="0.25">
      <c r="A226" s="2" t="str">
        <f>"3.1.2.02.07- Auxilio Creche"</f>
        <v>3.1.2.02.07- Auxilio Creche</v>
      </c>
      <c r="B226" s="10">
        <v>235122.6</v>
      </c>
      <c r="C226" s="10">
        <v>21756.94</v>
      </c>
      <c r="D226" s="10">
        <v>256879.54</v>
      </c>
    </row>
    <row r="227" spans="1:4" x14ac:dyDescent="0.25">
      <c r="A227" s="2" t="str">
        <f>"3.1.3.00.00- MATERIAIS"</f>
        <v>3.1.3.00.00- MATERIAIS</v>
      </c>
      <c r="B227" s="10">
        <v>814593.55</v>
      </c>
      <c r="C227" s="10">
        <v>87757.17</v>
      </c>
      <c r="D227" s="10">
        <v>902350.72</v>
      </c>
    </row>
    <row r="228" spans="1:4" x14ac:dyDescent="0.25">
      <c r="A228" s="2" t="str">
        <f>"3.1.3.00.01- Bens de natureza permanente"</f>
        <v>3.1.3.00.01- Bens de natureza permanente</v>
      </c>
      <c r="B228" s="10">
        <v>339.4</v>
      </c>
      <c r="C228" s="10">
        <v>0</v>
      </c>
      <c r="D228" s="10">
        <v>339.4</v>
      </c>
    </row>
    <row r="229" spans="1:4" x14ac:dyDescent="0.25">
      <c r="A229" s="2" t="str">
        <f>"3.1.3.00.05- Placas/acessorios/mat.fixacao"</f>
        <v>3.1.3.00.05- Placas/acessorios/mat.fixacao</v>
      </c>
      <c r="B229" s="10">
        <v>15271</v>
      </c>
      <c r="C229" s="10">
        <v>0</v>
      </c>
      <c r="D229" s="10">
        <v>15271</v>
      </c>
    </row>
    <row r="230" spans="1:4" x14ac:dyDescent="0.25">
      <c r="A230" s="2" t="str">
        <f>"3.1.3.00.08- Material seguranca e uniformes"</f>
        <v>3.1.3.00.08- Material seguranca e uniformes</v>
      </c>
      <c r="B230" s="10">
        <v>3821.19</v>
      </c>
      <c r="C230" s="10">
        <v>462.3</v>
      </c>
      <c r="D230" s="10">
        <v>4283.49</v>
      </c>
    </row>
    <row r="231" spans="1:4" x14ac:dyDescent="0.25">
      <c r="A231" s="2" t="str">
        <f>"3.1.3.00.09- Material limp/conserv/copa/cozin"</f>
        <v>3.1.3.00.09- Material limp/conserv/copa/cozin</v>
      </c>
      <c r="B231" s="10">
        <v>151527.46</v>
      </c>
      <c r="C231" s="10">
        <v>12708.72</v>
      </c>
      <c r="D231" s="10">
        <v>164236.18</v>
      </c>
    </row>
    <row r="232" spans="1:4" x14ac:dyDescent="0.25">
      <c r="A232" s="2" t="str">
        <f>"3.1.3.00.10- Impressos e material de escritorio"</f>
        <v>3.1.3.00.10- Impressos e material de escritorio</v>
      </c>
      <c r="B232" s="10">
        <v>177320.48</v>
      </c>
      <c r="C232" s="10">
        <v>10824.96</v>
      </c>
      <c r="D232" s="10">
        <v>188145.44</v>
      </c>
    </row>
    <row r="233" spans="1:4" x14ac:dyDescent="0.25">
      <c r="A233" s="2" t="str">
        <f>"3.1.3.00.11- Materiais manut. inst. prediais"</f>
        <v>3.1.3.00.11- Materiais manut. inst. prediais</v>
      </c>
      <c r="B233" s="10">
        <v>102223.47</v>
      </c>
      <c r="C233" s="10">
        <v>18891.78</v>
      </c>
      <c r="D233" s="10">
        <v>121115.25</v>
      </c>
    </row>
    <row r="234" spans="1:4" x14ac:dyDescent="0.25">
      <c r="A234" s="2" t="str">
        <f>"3.1.3.00.12- Carnes estacionamento rotativo"</f>
        <v>3.1.3.00.12- Carnes estacionamento rotativo</v>
      </c>
      <c r="B234" s="10">
        <v>318532.5</v>
      </c>
      <c r="C234" s="10">
        <v>26898.3</v>
      </c>
      <c r="D234" s="10">
        <v>345430.8</v>
      </c>
    </row>
    <row r="235" spans="1:4" x14ac:dyDescent="0.25">
      <c r="A235" s="2" t="str">
        <f>"3.1.3.00.15- Materiais e supriment informatic"</f>
        <v>3.1.3.00.15- Materiais e supriment informatic</v>
      </c>
      <c r="B235" s="10">
        <v>32673.72</v>
      </c>
      <c r="C235" s="10">
        <v>3250.86</v>
      </c>
      <c r="D235" s="10">
        <v>35924.58</v>
      </c>
    </row>
    <row r="236" spans="1:4" x14ac:dyDescent="0.25">
      <c r="A236" s="2" t="str">
        <f>"3.1.3.00.17- Comb./lubrificantes"</f>
        <v>3.1.3.00.17- Comb./lubrificantes</v>
      </c>
      <c r="B236" s="10">
        <v>191.11</v>
      </c>
      <c r="C236" s="10">
        <v>0</v>
      </c>
      <c r="D236" s="10">
        <v>191.11</v>
      </c>
    </row>
    <row r="237" spans="1:4" x14ac:dyDescent="0.25">
      <c r="A237" s="2" t="str">
        <f>"3.1.3.00.18- Livros/jornais/rev./publicacoes"</f>
        <v>3.1.3.00.18- Livros/jornais/rev./publicacoes</v>
      </c>
      <c r="B237" s="10">
        <v>4116.8</v>
      </c>
      <c r="C237" s="10">
        <v>3558</v>
      </c>
      <c r="D237" s="10">
        <v>7674.8</v>
      </c>
    </row>
    <row r="238" spans="1:4" x14ac:dyDescent="0.25">
      <c r="A238" s="2" t="str">
        <f>"3.1.3.00.19- Mat.man.cons.veiculos"</f>
        <v>3.1.3.00.19- Mat.man.cons.veiculos</v>
      </c>
      <c r="B238" s="10">
        <v>624</v>
      </c>
      <c r="C238" s="10">
        <v>0</v>
      </c>
      <c r="D238" s="10">
        <v>624</v>
      </c>
    </row>
    <row r="239" spans="1:4" x14ac:dyDescent="0.25">
      <c r="A239" s="2" t="str">
        <f>"3.1.3.00.99- Outros materiais"</f>
        <v>3.1.3.00.99- Outros materiais</v>
      </c>
      <c r="B239" s="10">
        <v>7952.42</v>
      </c>
      <c r="C239" s="10">
        <v>11162.25</v>
      </c>
      <c r="D239" s="10">
        <v>19114.669999999998</v>
      </c>
    </row>
    <row r="240" spans="1:4" x14ac:dyDescent="0.25">
      <c r="A240" s="2" t="str">
        <f>"3.1.4.00.00- SERVICOS PRESTADOS POR TERCEIROS"</f>
        <v>3.1.4.00.00- SERVICOS PRESTADOS POR TERCEIROS</v>
      </c>
      <c r="B240" s="10">
        <v>21786255.949999999</v>
      </c>
      <c r="C240" s="10">
        <v>1050468.1499999999</v>
      </c>
      <c r="D240" s="10">
        <v>22836724.100000001</v>
      </c>
    </row>
    <row r="241" spans="1:4" x14ac:dyDescent="0.25">
      <c r="A241" s="2" t="str">
        <f>"3.1.4.00.01- Consultoria"</f>
        <v>3.1.4.00.01- Consultoria</v>
      </c>
      <c r="B241" s="10">
        <v>26600</v>
      </c>
      <c r="C241" s="10">
        <v>0</v>
      </c>
      <c r="D241" s="10">
        <v>26600</v>
      </c>
    </row>
    <row r="242" spans="1:4" x14ac:dyDescent="0.25">
      <c r="A242" s="2" t="str">
        <f>"3.1.4.00.03- Locacao de equipamentos"</f>
        <v>3.1.4.00.03- Locacao de equipamentos</v>
      </c>
      <c r="B242" s="10">
        <v>71006.600000000006</v>
      </c>
      <c r="C242" s="10">
        <v>6161.39</v>
      </c>
      <c r="D242" s="10">
        <v>77167.990000000005</v>
      </c>
    </row>
    <row r="243" spans="1:4" x14ac:dyDescent="0.25">
      <c r="A243" s="2" t="str">
        <f>"3.1.4.00.08- Servicos de auditoria"</f>
        <v>3.1.4.00.08- Servicos de auditoria</v>
      </c>
      <c r="B243" s="10">
        <v>16333.28</v>
      </c>
      <c r="C243" s="10">
        <v>0</v>
      </c>
      <c r="D243" s="10">
        <v>16333.28</v>
      </c>
    </row>
    <row r="244" spans="1:4" x14ac:dyDescent="0.25">
      <c r="A244" s="2" t="str">
        <f>"3.1.4.00.10- Mao de obra contratada"</f>
        <v>3.1.4.00.10- Mao de obra contratada</v>
      </c>
      <c r="B244" s="10">
        <v>930747.2</v>
      </c>
      <c r="C244" s="10">
        <v>202185.07</v>
      </c>
      <c r="D244" s="10">
        <v>1132932.27</v>
      </c>
    </row>
    <row r="245" spans="1:4" x14ac:dyDescent="0.25">
      <c r="A245" s="2" t="str">
        <f>"3.1.4.00.13- Publicidade e divulgacao"</f>
        <v>3.1.4.00.13- Publicidade e divulgacao</v>
      </c>
      <c r="B245" s="10">
        <v>169869.31</v>
      </c>
      <c r="C245" s="10">
        <v>17223.75</v>
      </c>
      <c r="D245" s="10">
        <v>187093.06</v>
      </c>
    </row>
    <row r="246" spans="1:4" x14ac:dyDescent="0.25">
      <c r="A246" s="2" t="str">
        <f>"3.1.4.00.14- Informatica-serv. e/ou locacao"</f>
        <v>3.1.4.00.14- Informatica-serv. e/ou locacao</v>
      </c>
      <c r="B246" s="10">
        <v>1398738.01</v>
      </c>
      <c r="C246" s="10">
        <v>108188.18</v>
      </c>
      <c r="D246" s="10">
        <v>1506926.19</v>
      </c>
    </row>
    <row r="247" spans="1:4" x14ac:dyDescent="0.25">
      <c r="A247" s="2" t="str">
        <f>"3.1.4.00.15- Outros serv. prestados - PF"</f>
        <v>3.1.4.00.15- Outros serv. prestados - PF</v>
      </c>
      <c r="B247" s="10">
        <v>121451.9</v>
      </c>
      <c r="C247" s="10">
        <v>24929.360000000001</v>
      </c>
      <c r="D247" s="10">
        <v>146381.26</v>
      </c>
    </row>
    <row r="248" spans="1:4" x14ac:dyDescent="0.25">
      <c r="A248" s="2" t="str">
        <f>"3.1.4.00.16- Outros serv. Prestados - PJ"</f>
        <v>3.1.4.00.16- Outros serv. Prestados - PJ</v>
      </c>
      <c r="B248" s="10">
        <v>233777.77</v>
      </c>
      <c r="C248" s="10">
        <v>28342.77</v>
      </c>
      <c r="D248" s="10">
        <v>262120.54</v>
      </c>
    </row>
    <row r="249" spans="1:4" x14ac:dyDescent="0.25">
      <c r="A249" s="2" t="str">
        <f>"3.1.4.00.17- Servicos postais"</f>
        <v>3.1.4.00.17- Servicos postais</v>
      </c>
      <c r="B249" s="10">
        <v>61959.88</v>
      </c>
      <c r="C249" s="10">
        <v>5815.93</v>
      </c>
      <c r="D249" s="10">
        <v>67775.81</v>
      </c>
    </row>
    <row r="250" spans="1:4" x14ac:dyDescent="0.25">
      <c r="A250" s="2" t="str">
        <f>"3.1.4.00.18- INSS s/servicos de terceiros"</f>
        <v>3.1.4.00.18- INSS s/servicos de terceiros</v>
      </c>
      <c r="B250" s="10">
        <v>30624.95</v>
      </c>
      <c r="C250" s="10">
        <v>1615.29</v>
      </c>
      <c r="D250" s="10">
        <v>32240.240000000002</v>
      </c>
    </row>
    <row r="251" spans="1:4" x14ac:dyDescent="0.25">
      <c r="A251" s="2" t="str">
        <f>"3.1.4.00.19- Manut. imoveis/instal/equip.oper"</f>
        <v>3.1.4.00.19- Manut. imoveis/instal/equip.oper</v>
      </c>
      <c r="B251" s="10">
        <v>459807.93</v>
      </c>
      <c r="C251" s="10">
        <v>143824.20000000001</v>
      </c>
      <c r="D251" s="10">
        <v>603632.13</v>
      </c>
    </row>
    <row r="252" spans="1:4" x14ac:dyDescent="0.25">
      <c r="A252" s="2" t="str">
        <f>"3.1.4.00.21- Manut. moveis e equip. Escritorio"</f>
        <v>3.1.4.00.21- Manut. moveis e equip. Escritorio</v>
      </c>
      <c r="B252" s="10">
        <v>41253.08</v>
      </c>
      <c r="C252" s="10">
        <v>1311.44</v>
      </c>
      <c r="D252" s="10">
        <v>42564.52</v>
      </c>
    </row>
    <row r="253" spans="1:4" x14ac:dyDescent="0.25">
      <c r="A253" s="2" t="str">
        <f>"3.1.4.00.24- Loc.serv.mensageiro"</f>
        <v>3.1.4.00.24- Loc.serv.mensageiro</v>
      </c>
      <c r="B253" s="10">
        <v>34838.81</v>
      </c>
      <c r="C253" s="10">
        <v>0</v>
      </c>
      <c r="D253" s="10">
        <v>34838.81</v>
      </c>
    </row>
    <row r="254" spans="1:4" x14ac:dyDescent="0.25">
      <c r="A254" s="2" t="str">
        <f>"3.1.4.00.26- Serv.limp.conserv."</f>
        <v>3.1.4.00.26- Serv.limp.conserv.</v>
      </c>
      <c r="B254" s="10">
        <v>17970973.190000001</v>
      </c>
      <c r="C254" s="10">
        <v>536785.66</v>
      </c>
      <c r="D254" s="10">
        <v>18507758.850000001</v>
      </c>
    </row>
    <row r="255" spans="1:4" x14ac:dyDescent="0.25">
      <c r="A255" s="2" t="str">
        <f>"3.1.4.00.32- Vale transporte"</f>
        <v>3.1.4.00.32- Vale transporte</v>
      </c>
      <c r="B255" s="10">
        <v>929.63</v>
      </c>
      <c r="C255" s="10">
        <v>0</v>
      </c>
      <c r="D255" s="10">
        <v>929.63</v>
      </c>
    </row>
    <row r="256" spans="1:4" x14ac:dyDescent="0.25">
      <c r="A256" s="2" t="str">
        <f>"3.1.4.00.33- Vale Ref./Al.terceir."</f>
        <v>3.1.4.00.33- Vale Ref./Al.terceir.</v>
      </c>
      <c r="B256" s="10">
        <v>2454.6999999999998</v>
      </c>
      <c r="C256" s="10">
        <v>0</v>
      </c>
      <c r="D256" s="10">
        <v>2454.6999999999998</v>
      </c>
    </row>
    <row r="257" spans="1:4" x14ac:dyDescent="0.25">
      <c r="A257" s="2" t="str">
        <f>"3.1.4.00.34- Comissao s/venda rotativo"</f>
        <v>3.1.4.00.34- Comissao s/venda rotativo</v>
      </c>
      <c r="B257" s="10">
        <v>714788.48</v>
      </c>
      <c r="C257" s="10">
        <v>52666.06</v>
      </c>
      <c r="D257" s="10">
        <v>767454.54</v>
      </c>
    </row>
    <row r="258" spans="1:4" x14ac:dyDescent="0.25">
      <c r="A258" s="2" t="str">
        <f>"3.1.4.00.36- (-) Desconto ISSQN conf Lei 9145 serv. P"</f>
        <v>3.1.4.00.36- (-) Desconto ISSQN conf Lei 9145 serv. P</v>
      </c>
      <c r="B258" s="10">
        <v>-886870.92</v>
      </c>
      <c r="C258" s="10">
        <v>-125014.9</v>
      </c>
      <c r="D258" s="10">
        <v>-1011885.82</v>
      </c>
    </row>
    <row r="259" spans="1:4" x14ac:dyDescent="0.25">
      <c r="A259" s="2" t="str">
        <f>"3.1.4.00.39- Convênio Guarda Municipal"</f>
        <v>3.1.4.00.39- Convênio Guarda Municipal</v>
      </c>
      <c r="B259" s="10">
        <v>386972.15</v>
      </c>
      <c r="C259" s="10">
        <v>46433.95</v>
      </c>
      <c r="D259" s="10">
        <v>433406.1</v>
      </c>
    </row>
    <row r="260" spans="1:4" x14ac:dyDescent="0.25">
      <c r="A260" s="2" t="str">
        <f>"3.1.5.00.00- TARIFAS PUBLICAS"</f>
        <v>3.1.5.00.00- TARIFAS PUBLICAS</v>
      </c>
      <c r="B260" s="10">
        <v>1432338.92</v>
      </c>
      <c r="C260" s="10">
        <v>197924.67</v>
      </c>
      <c r="D260" s="10">
        <v>1630263.59</v>
      </c>
    </row>
    <row r="261" spans="1:4" x14ac:dyDescent="0.25">
      <c r="A261" s="2" t="str">
        <f>"3.1.5.00.02- Energia eletrica"</f>
        <v>3.1.5.00.02- Energia eletrica</v>
      </c>
      <c r="B261" s="10">
        <v>1089649.21</v>
      </c>
      <c r="C261" s="10">
        <v>167045.13</v>
      </c>
      <c r="D261" s="10">
        <v>1256694.3400000001</v>
      </c>
    </row>
    <row r="262" spans="1:4" x14ac:dyDescent="0.25">
      <c r="A262" s="2" t="str">
        <f>"3.1.5.00.03- Telefone"</f>
        <v>3.1.5.00.03- Telefone</v>
      </c>
      <c r="B262" s="10">
        <v>342689.71</v>
      </c>
      <c r="C262" s="10">
        <v>30879.54</v>
      </c>
      <c r="D262" s="10">
        <v>373569.25</v>
      </c>
    </row>
    <row r="263" spans="1:4" x14ac:dyDescent="0.25">
      <c r="A263" s="2" t="str">
        <f>"3.1.6.00.00- DESPESAS TRIBUTARIAS"</f>
        <v>3.1.6.00.00- DESPESAS TRIBUTARIAS</v>
      </c>
      <c r="B263" s="10">
        <v>2617309.75</v>
      </c>
      <c r="C263" s="10">
        <v>210979.45</v>
      </c>
      <c r="D263" s="10">
        <v>2828289.2</v>
      </c>
    </row>
    <row r="264" spans="1:4" x14ac:dyDescent="0.25">
      <c r="A264" s="2" t="str">
        <f>"3.1.6.00.01- Taxas legais"</f>
        <v>3.1.6.00.01- Taxas legais</v>
      </c>
      <c r="B264" s="10">
        <v>20860.87</v>
      </c>
      <c r="C264" s="10">
        <v>0</v>
      </c>
      <c r="D264" s="10">
        <v>20860.87</v>
      </c>
    </row>
    <row r="265" spans="1:4" x14ac:dyDescent="0.25">
      <c r="A265" s="2" t="str">
        <f>"3.1.6.00.03- IOF"</f>
        <v>3.1.6.00.03- IOF</v>
      </c>
      <c r="B265" s="10">
        <v>1464.07</v>
      </c>
      <c r="C265" s="10">
        <v>445.22</v>
      </c>
      <c r="D265" s="10">
        <v>1909.29</v>
      </c>
    </row>
    <row r="266" spans="1:4" x14ac:dyDescent="0.25">
      <c r="A266" s="2" t="str">
        <f>"3.1.6.00.06- PIS"</f>
        <v>3.1.6.00.06- PIS</v>
      </c>
      <c r="B266" s="10">
        <v>429802.39</v>
      </c>
      <c r="C266" s="10">
        <v>35425.5</v>
      </c>
      <c r="D266" s="10">
        <v>465227.89</v>
      </c>
    </row>
    <row r="267" spans="1:4" x14ac:dyDescent="0.25">
      <c r="A267" s="2" t="str">
        <f>"3.1.6.00.07- COFINS"</f>
        <v>3.1.6.00.07- COFINS</v>
      </c>
      <c r="B267" s="10">
        <v>1979695.92</v>
      </c>
      <c r="C267" s="10">
        <v>163171.98000000001</v>
      </c>
      <c r="D267" s="10">
        <v>2142867.9</v>
      </c>
    </row>
    <row r="268" spans="1:4" x14ac:dyDescent="0.25">
      <c r="A268" s="2" t="str">
        <f>"3.1.6.00.08- Multas indedutiveis"</f>
        <v>3.1.6.00.08- Multas indedutiveis</v>
      </c>
      <c r="B268" s="10">
        <v>26966.39</v>
      </c>
      <c r="C268" s="10">
        <v>0</v>
      </c>
      <c r="D268" s="10">
        <v>26966.39</v>
      </c>
    </row>
    <row r="269" spans="1:4" x14ac:dyDescent="0.25">
      <c r="A269" s="2" t="str">
        <f>"3.1.6.00.10- ISS s/faturamento"</f>
        <v>3.1.6.00.10- ISS s/faturamento</v>
      </c>
      <c r="B269" s="10">
        <v>24261.200000000001</v>
      </c>
      <c r="C269" s="10">
        <v>2456.34</v>
      </c>
      <c r="D269" s="10">
        <v>26717.54</v>
      </c>
    </row>
    <row r="270" spans="1:4" x14ac:dyDescent="0.25">
      <c r="A270" s="2" t="str">
        <f>"3.1.6.00.11- Custas/despesas judiciais"</f>
        <v>3.1.6.00.11- Custas/despesas judiciais</v>
      </c>
      <c r="B270" s="10">
        <v>60</v>
      </c>
      <c r="C270" s="10">
        <v>0</v>
      </c>
      <c r="D270" s="10">
        <v>60</v>
      </c>
    </row>
    <row r="271" spans="1:4" x14ac:dyDescent="0.25">
      <c r="A271" s="2" t="str">
        <f>"3.1.6.00.14- Contrib.entid.classe"</f>
        <v>3.1.6.00.14- Contrib.entid.classe</v>
      </c>
      <c r="B271" s="10">
        <v>81742.080000000002</v>
      </c>
      <c r="C271" s="10">
        <v>673.08</v>
      </c>
      <c r="D271" s="10">
        <v>82415.16</v>
      </c>
    </row>
    <row r="272" spans="1:4" x14ac:dyDescent="0.25">
      <c r="A272" s="2" t="str">
        <f>"3.1.6.00.15- INSS Serv.terceiros"</f>
        <v>3.1.6.00.15- INSS Serv.terceiros</v>
      </c>
      <c r="B272" s="10">
        <v>18023.59</v>
      </c>
      <c r="C272" s="10">
        <v>6687.59</v>
      </c>
      <c r="D272" s="10">
        <v>24711.18</v>
      </c>
    </row>
    <row r="273" spans="1:4" x14ac:dyDescent="0.25">
      <c r="A273" s="2" t="str">
        <f>"3.1.6.00.17- PIS s/ receitas financeiras"</f>
        <v>3.1.6.00.17- PIS s/ receitas financeiras</v>
      </c>
      <c r="B273" s="10">
        <v>4813.24</v>
      </c>
      <c r="C273" s="10">
        <v>296.31</v>
      </c>
      <c r="D273" s="10">
        <v>5109.55</v>
      </c>
    </row>
    <row r="274" spans="1:4" x14ac:dyDescent="0.25">
      <c r="A274" s="2" t="str">
        <f>"3.1.6.00.18- Cofins s/ receitas financeiras"</f>
        <v>3.1.6.00.18- Cofins s/ receitas financeiras</v>
      </c>
      <c r="B274" s="10">
        <v>29620</v>
      </c>
      <c r="C274" s="10">
        <v>1823.43</v>
      </c>
      <c r="D274" s="10">
        <v>31443.43</v>
      </c>
    </row>
    <row r="275" spans="1:4" x14ac:dyDescent="0.25">
      <c r="A275" s="2" t="str">
        <f>"3.1.7.00.00- DESPESAS FINANCEIRAS"</f>
        <v>3.1.7.00.00- DESPESAS FINANCEIRAS</v>
      </c>
      <c r="B275" s="10">
        <v>26805.47</v>
      </c>
      <c r="C275" s="10">
        <v>1659.26</v>
      </c>
      <c r="D275" s="10">
        <v>28464.73</v>
      </c>
    </row>
    <row r="276" spans="1:4" x14ac:dyDescent="0.25">
      <c r="A276" s="2" t="str">
        <f>"3.1.7.01.01- Juros passivos curto prazo"</f>
        <v>3.1.7.01.01- Juros passivos curto prazo</v>
      </c>
      <c r="B276" s="10">
        <v>61.07</v>
      </c>
      <c r="C276" s="10">
        <v>0</v>
      </c>
      <c r="D276" s="10">
        <v>61.07</v>
      </c>
    </row>
    <row r="277" spans="1:4" x14ac:dyDescent="0.25">
      <c r="A277" s="2" t="str">
        <f>"3.1.7.01.02- Despesas bancarias"</f>
        <v>3.1.7.01.02- Despesas bancarias</v>
      </c>
      <c r="B277" s="10">
        <v>26744.400000000001</v>
      </c>
      <c r="C277" s="10">
        <v>1659.26</v>
      </c>
      <c r="D277" s="10">
        <v>28403.66</v>
      </c>
    </row>
    <row r="278" spans="1:4" x14ac:dyDescent="0.25">
      <c r="A278" s="2" t="str">
        <f>"3.1.8.00.00- OUTRAS DESPESAS"</f>
        <v>3.1.8.00.00- OUTRAS DESPESAS</v>
      </c>
      <c r="B278" s="10">
        <v>1275514.33</v>
      </c>
      <c r="C278" s="10">
        <v>13913209.25</v>
      </c>
      <c r="D278" s="10">
        <v>15188723.58</v>
      </c>
    </row>
    <row r="279" spans="1:4" x14ac:dyDescent="0.25">
      <c r="A279" s="2" t="str">
        <f>"3.1.8.00.01- Despesas de viagem"</f>
        <v>3.1.8.00.01- Despesas de viagem</v>
      </c>
      <c r="B279" s="10">
        <v>72820.31</v>
      </c>
      <c r="C279" s="10">
        <v>3797.36</v>
      </c>
      <c r="D279" s="10">
        <v>76617.67</v>
      </c>
    </row>
    <row r="280" spans="1:4" x14ac:dyDescent="0.25">
      <c r="A280" s="2" t="str">
        <f>"3.1.8.00.05- Depreciacao/amort"</f>
        <v>3.1.8.00.05- Depreciacao/amort</v>
      </c>
      <c r="B280" s="10">
        <v>246863.7</v>
      </c>
      <c r="C280" s="10">
        <v>22111.9</v>
      </c>
      <c r="D280" s="10">
        <v>268975.59999999998</v>
      </c>
    </row>
    <row r="281" spans="1:4" x14ac:dyDescent="0.25">
      <c r="A281" s="2" t="str">
        <f>"3.1.8.00.06- Seguros bens moveis e imoveis"</f>
        <v>3.1.8.00.06- Seguros bens moveis e imoveis</v>
      </c>
      <c r="B281" s="10">
        <v>12016.09</v>
      </c>
      <c r="C281" s="10">
        <v>1159</v>
      </c>
      <c r="D281" s="10">
        <v>13175.09</v>
      </c>
    </row>
    <row r="282" spans="1:4" x14ac:dyDescent="0.25">
      <c r="A282" s="2" t="str">
        <f>"3.1.8.00.08- Alugueis e condominio"</f>
        <v>3.1.8.00.08- Alugueis e condominio</v>
      </c>
      <c r="B282" s="10">
        <v>55789.91</v>
      </c>
      <c r="C282" s="10">
        <v>5071.8100000000004</v>
      </c>
      <c r="D282" s="10">
        <v>60861.72</v>
      </c>
    </row>
    <row r="283" spans="1:4" x14ac:dyDescent="0.25">
      <c r="A283" s="2" t="str">
        <f>"3.1.8.00.12- Acoes judiciais terceiros"</f>
        <v>3.1.8.00.12- Acoes judiciais terceiros</v>
      </c>
      <c r="B283" s="10">
        <v>9283.2999999999993</v>
      </c>
      <c r="C283" s="10">
        <v>141914.35999999999</v>
      </c>
      <c r="D283" s="10">
        <v>151197.66</v>
      </c>
    </row>
    <row r="284" spans="1:4" x14ac:dyDescent="0.25">
      <c r="A284" s="2" t="str">
        <f>"3.1.8.00.16- Baixa de imobilizado"</f>
        <v>3.1.8.00.16- Baixa de imobilizado</v>
      </c>
      <c r="B284" s="10">
        <v>5819.22</v>
      </c>
      <c r="C284" s="10">
        <v>0</v>
      </c>
      <c r="D284" s="10">
        <v>5819.22</v>
      </c>
    </row>
    <row r="285" spans="1:4" x14ac:dyDescent="0.25">
      <c r="A285" s="2" t="str">
        <f>"3.1.8.00.17- Gastos com eventos e promocoes"</f>
        <v>3.1.8.00.17- Gastos com eventos e promocoes</v>
      </c>
      <c r="B285" s="10">
        <v>304688.3</v>
      </c>
      <c r="C285" s="10">
        <v>9940</v>
      </c>
      <c r="D285" s="10">
        <v>314628.3</v>
      </c>
    </row>
    <row r="286" spans="1:4" x14ac:dyDescent="0.25">
      <c r="A286" s="2" t="str">
        <f>"3.1.8.00.18- Provisao para perdas"</f>
        <v>3.1.8.00.18- Provisao para perdas</v>
      </c>
      <c r="B286" s="10">
        <v>485302.08</v>
      </c>
      <c r="C286" s="10">
        <v>593791.43999999994</v>
      </c>
      <c r="D286" s="10">
        <v>1079093.52</v>
      </c>
    </row>
    <row r="287" spans="1:4" x14ac:dyDescent="0.25">
      <c r="A287" s="2" t="str">
        <f>"3.1.8.00.23- Custas/Despesas Judiciais"</f>
        <v>3.1.8.00.23- Custas/Despesas Judiciais</v>
      </c>
      <c r="B287" s="10">
        <v>82053.97</v>
      </c>
      <c r="C287" s="10">
        <v>4484.38</v>
      </c>
      <c r="D287" s="10">
        <v>86538.35</v>
      </c>
    </row>
    <row r="288" spans="1:4" x14ac:dyDescent="0.25">
      <c r="A288" s="2" t="str">
        <f>"3.1.8.00.26- Provisao Acoes Trabalhistas"</f>
        <v>3.1.8.00.26- Provisao Acoes Trabalhistas</v>
      </c>
      <c r="B288" s="10">
        <v>0</v>
      </c>
      <c r="C288" s="10">
        <v>13129980.130000001</v>
      </c>
      <c r="D288" s="10">
        <v>13129980.130000001</v>
      </c>
    </row>
    <row r="289" spans="1:4" x14ac:dyDescent="0.25">
      <c r="A289" s="2" t="str">
        <f>"3.1.8.00.99- Despesas diversas"</f>
        <v>3.1.8.00.99- Despesas diversas</v>
      </c>
      <c r="B289" s="10">
        <v>877.45</v>
      </c>
      <c r="C289" s="10">
        <v>958.87</v>
      </c>
      <c r="D289" s="10">
        <v>1836.32</v>
      </c>
    </row>
    <row r="290" spans="1:4" x14ac:dyDescent="0.25">
      <c r="A290" s="2" t="str">
        <f>""</f>
        <v/>
      </c>
      <c r="B290" s="3" t="str">
        <f>""</f>
        <v/>
      </c>
      <c r="C290" s="3" t="str">
        <f>""</f>
        <v/>
      </c>
      <c r="D290" s="3" t="str">
        <f>""</f>
        <v/>
      </c>
    </row>
    <row r="291" spans="1:4" x14ac:dyDescent="0.25">
      <c r="A291" s="2" t="str">
        <f>""</f>
        <v/>
      </c>
      <c r="B291" s="3" t="str">
        <f>""</f>
        <v/>
      </c>
      <c r="C291" s="3" t="str">
        <f>""</f>
        <v/>
      </c>
      <c r="D291" s="3" t="str">
        <f>""</f>
        <v/>
      </c>
    </row>
    <row r="292" spans="1:4" x14ac:dyDescent="0.25">
      <c r="A292" s="2" t="str">
        <f>""</f>
        <v/>
      </c>
      <c r="B292" s="3" t="str">
        <f>""</f>
        <v/>
      </c>
      <c r="C292" s="3" t="str">
        <f>""</f>
        <v/>
      </c>
      <c r="D292" s="3" t="str">
        <f>""</f>
        <v/>
      </c>
    </row>
    <row r="293" spans="1:4" x14ac:dyDescent="0.25">
      <c r="A293" s="2" t="str">
        <f>""</f>
        <v/>
      </c>
      <c r="B293" s="3" t="str">
        <f>""</f>
        <v/>
      </c>
      <c r="C293" s="3" t="str">
        <f>""</f>
        <v/>
      </c>
      <c r="D293" s="3" t="str">
        <f>""</f>
        <v/>
      </c>
    </row>
    <row r="294" spans="1:4" x14ac:dyDescent="0.25">
      <c r="A294" s="2" t="str">
        <f>""</f>
        <v/>
      </c>
      <c r="B294" s="3" t="str">
        <f>""</f>
        <v/>
      </c>
      <c r="C294" s="3" t="str">
        <f>""</f>
        <v/>
      </c>
      <c r="D294" s="3" t="str">
        <f>""</f>
        <v/>
      </c>
    </row>
    <row r="295" spans="1:4" x14ac:dyDescent="0.25">
      <c r="A295" s="2" t="str">
        <f>""</f>
        <v/>
      </c>
      <c r="B295" s="3" t="str">
        <f>""</f>
        <v/>
      </c>
      <c r="C295" s="3" t="str">
        <f>""</f>
        <v/>
      </c>
      <c r="D295" s="3" t="str">
        <f>""</f>
        <v/>
      </c>
    </row>
    <row r="296" spans="1:4" x14ac:dyDescent="0.25">
      <c r="A296" s="2" t="str">
        <f>""</f>
        <v/>
      </c>
      <c r="B296" s="3" t="str">
        <f>""</f>
        <v/>
      </c>
      <c r="C296" s="3" t="str">
        <f>""</f>
        <v/>
      </c>
      <c r="D296" s="3" t="str">
        <f>""</f>
        <v/>
      </c>
    </row>
    <row r="297" spans="1:4" x14ac:dyDescent="0.25">
      <c r="A297" s="2" t="str">
        <f>""</f>
        <v/>
      </c>
      <c r="B297" s="3" t="str">
        <f>""</f>
        <v/>
      </c>
      <c r="C297" s="3" t="str">
        <f>""</f>
        <v/>
      </c>
      <c r="D297" s="3" t="str">
        <f>""</f>
        <v/>
      </c>
    </row>
    <row r="298" spans="1:4" x14ac:dyDescent="0.25">
      <c r="A298" s="2" t="str">
        <f>""</f>
        <v/>
      </c>
      <c r="B298" s="3" t="str">
        <f>""</f>
        <v/>
      </c>
      <c r="C298" s="3" t="str">
        <f>""</f>
        <v/>
      </c>
      <c r="D298" s="3" t="str">
        <f>""</f>
        <v/>
      </c>
    </row>
    <row r="299" spans="1:4" x14ac:dyDescent="0.25">
      <c r="A299" s="2" t="str">
        <f>""</f>
        <v/>
      </c>
      <c r="B299" s="3" t="str">
        <f>""</f>
        <v/>
      </c>
      <c r="C299" s="3" t="str">
        <f>""</f>
        <v/>
      </c>
      <c r="D299" s="3" t="str">
        <f>""</f>
        <v/>
      </c>
    </row>
    <row r="300" spans="1:4" x14ac:dyDescent="0.25">
      <c r="A300" s="2" t="str">
        <f>"RECEITAS"</f>
        <v>RECEITAS</v>
      </c>
      <c r="B300" s="3" t="str">
        <f>""</f>
        <v/>
      </c>
      <c r="C300" s="3" t="str">
        <f>""</f>
        <v/>
      </c>
      <c r="D300" s="3" t="str">
        <f>""</f>
        <v/>
      </c>
    </row>
    <row r="301" spans="1:4" x14ac:dyDescent="0.25">
      <c r="A301" s="2" t="str">
        <f>"4.0.0.00.00- RECEITAS"</f>
        <v>4.0.0.00.00- RECEITAS</v>
      </c>
      <c r="B301" s="10">
        <v>139863394.59999999</v>
      </c>
      <c r="C301" s="10">
        <v>17115353.039999999</v>
      </c>
      <c r="D301" s="10">
        <v>156978747.63999999</v>
      </c>
    </row>
    <row r="302" spans="1:4" x14ac:dyDescent="0.25">
      <c r="A302" s="2" t="str">
        <f>"4.1.0.00.00- RECEITAS BHTRANS"</f>
        <v>4.1.0.00.00- RECEITAS BHTRANS</v>
      </c>
      <c r="B302" s="10">
        <v>137805972.97999999</v>
      </c>
      <c r="C302" s="10">
        <v>12827465.92</v>
      </c>
      <c r="D302" s="10">
        <v>150633438.90000001</v>
      </c>
    </row>
    <row r="303" spans="1:4" x14ac:dyDescent="0.25">
      <c r="A303" s="2" t="str">
        <f>"4.1.1.00.00- RECEITAS OPERACIONAIS"</f>
        <v>4.1.1.00.00- RECEITAS OPERACIONAIS</v>
      </c>
      <c r="B303" s="10">
        <v>137180985.61000001</v>
      </c>
      <c r="C303" s="10">
        <v>12777904.58</v>
      </c>
      <c r="D303" s="10">
        <v>149958890.19</v>
      </c>
    </row>
    <row r="304" spans="1:4" x14ac:dyDescent="0.25">
      <c r="A304" s="2" t="str">
        <f>"4.1.1.00.05- Midia taxi, escolar e suplementar"</f>
        <v>4.1.1.00.05- Midia taxi, escolar e suplementar</v>
      </c>
      <c r="B304" s="10">
        <v>42564.97</v>
      </c>
      <c r="C304" s="10">
        <v>7783.18</v>
      </c>
      <c r="D304" s="10">
        <v>50348.15</v>
      </c>
    </row>
    <row r="305" spans="1:4" x14ac:dyDescent="0.25">
      <c r="A305" s="2" t="str">
        <f>"4.1.1.00.06- Midia em onibus"</f>
        <v>4.1.1.00.06- Midia em onibus</v>
      </c>
      <c r="B305" s="10">
        <v>674210.7</v>
      </c>
      <c r="C305" s="10">
        <v>65940.08</v>
      </c>
      <c r="D305" s="10">
        <v>740150.78</v>
      </c>
    </row>
    <row r="306" spans="1:4" x14ac:dyDescent="0.25">
      <c r="A306" s="2" t="str">
        <f>"4.1.1.00.07- Midias diversas"</f>
        <v>4.1.1.00.07- Midias diversas</v>
      </c>
      <c r="B306" s="10">
        <v>91508.04</v>
      </c>
      <c r="C306" s="10">
        <v>7625.67</v>
      </c>
      <c r="D306" s="10">
        <v>99133.71</v>
      </c>
    </row>
    <row r="307" spans="1:4" x14ac:dyDescent="0.25">
      <c r="A307" s="2" t="str">
        <f>"4.1.1.00.08- Estacionamento Rotativo"</f>
        <v>4.1.1.00.08- Estacionamento Rotativo</v>
      </c>
      <c r="B307" s="10">
        <v>16609272.15</v>
      </c>
      <c r="C307" s="10">
        <v>1315261.2</v>
      </c>
      <c r="D307" s="10">
        <v>17924533.350000001</v>
      </c>
    </row>
    <row r="308" spans="1:4" x14ac:dyDescent="0.25">
      <c r="A308" s="2" t="str">
        <f>"4.1.1.00.10- Transf. financeira PBH"</f>
        <v>4.1.1.00.10- Transf. financeira PBH</v>
      </c>
      <c r="B308" s="10">
        <v>113074264.15000001</v>
      </c>
      <c r="C308" s="10">
        <v>10742767.6</v>
      </c>
      <c r="D308" s="10">
        <v>123817031.75</v>
      </c>
    </row>
    <row r="309" spans="1:4" x14ac:dyDescent="0.25">
      <c r="A309" s="2" t="str">
        <f>"4.1.1.00.16- Multas transporte coletivo"</f>
        <v>4.1.1.00.16- Multas transporte coletivo</v>
      </c>
      <c r="B309" s="10">
        <v>4853020.7699999996</v>
      </c>
      <c r="C309" s="10">
        <v>542446.79</v>
      </c>
      <c r="D309" s="10">
        <v>5395467.5599999996</v>
      </c>
    </row>
    <row r="310" spans="1:4" x14ac:dyDescent="0.25">
      <c r="A310" s="2" t="str">
        <f>"4.1.1.00.17- Multas transporte publico"</f>
        <v>4.1.1.00.17- Multas transporte publico</v>
      </c>
      <c r="B310" s="10">
        <v>1379869.03</v>
      </c>
      <c r="C310" s="10">
        <v>84281.53</v>
      </c>
      <c r="D310" s="10">
        <v>1464150.56</v>
      </c>
    </row>
    <row r="311" spans="1:4" x14ac:dyDescent="0.25">
      <c r="A311" s="2" t="str">
        <f>"4.1.1.00.19- Subconcessao frotas de taxi"</f>
        <v>4.1.1.00.19- Subconcessao frotas de taxi</v>
      </c>
      <c r="B311" s="10">
        <v>456275.8</v>
      </c>
      <c r="C311" s="10">
        <v>11798.53</v>
      </c>
      <c r="D311" s="10">
        <v>468074.33</v>
      </c>
    </row>
    <row r="312" spans="1:4" x14ac:dyDescent="0.25">
      <c r="A312" s="2" t="str">
        <f>"4.1.8.00.00- RECEITAS ALUGUEIS ESTACOES"</f>
        <v>4.1.8.00.00- RECEITAS ALUGUEIS ESTACOES</v>
      </c>
      <c r="B312" s="10">
        <v>624987.37</v>
      </c>
      <c r="C312" s="10">
        <v>49561.34</v>
      </c>
      <c r="D312" s="10">
        <v>674548.71</v>
      </c>
    </row>
    <row r="313" spans="1:4" x14ac:dyDescent="0.25">
      <c r="A313" s="2" t="str">
        <f>"4.1.8.00.01- Alugueis Estacoes"</f>
        <v>4.1.8.00.01- Alugueis Estacoes</v>
      </c>
      <c r="B313" s="10">
        <v>624987.37</v>
      </c>
      <c r="C313" s="10">
        <v>49561.34</v>
      </c>
      <c r="D313" s="10">
        <v>674548.71</v>
      </c>
    </row>
    <row r="314" spans="1:4" x14ac:dyDescent="0.25">
      <c r="A314" s="2" t="str">
        <f>"4.2.0.00.00- RECEITAS FINANCEIRAS"</f>
        <v>4.2.0.00.00- RECEITAS FINANCEIRAS</v>
      </c>
      <c r="B314" s="10">
        <v>740499.98</v>
      </c>
      <c r="C314" s="10">
        <v>45585.73</v>
      </c>
      <c r="D314" s="10">
        <v>786085.71</v>
      </c>
    </row>
    <row r="315" spans="1:4" x14ac:dyDescent="0.25">
      <c r="A315" s="2" t="str">
        <f>"4.2.1.00.00- RECEITAS FINANCEIRAS"</f>
        <v>4.2.1.00.00- RECEITAS FINANCEIRAS</v>
      </c>
      <c r="B315" s="10">
        <v>739541.55</v>
      </c>
      <c r="C315" s="10">
        <v>45528.17</v>
      </c>
      <c r="D315" s="10">
        <v>785069.72</v>
      </c>
    </row>
    <row r="316" spans="1:4" x14ac:dyDescent="0.25">
      <c r="A316" s="2" t="str">
        <f>"4.2.1.00.01- Rendimentos aplic. Financeira"</f>
        <v>4.2.1.00.01- Rendimentos aplic. Financeira</v>
      </c>
      <c r="B316" s="10">
        <v>605562.1</v>
      </c>
      <c r="C316" s="10">
        <v>45528.17</v>
      </c>
      <c r="D316" s="10">
        <v>651090.27</v>
      </c>
    </row>
    <row r="317" spans="1:4" x14ac:dyDescent="0.25">
      <c r="A317" s="2" t="str">
        <f>"4.2.1.00.02- Juros ativos"</f>
        <v>4.2.1.00.02- Juros ativos</v>
      </c>
      <c r="B317" s="10">
        <v>2132.1</v>
      </c>
      <c r="C317" s="10">
        <v>0</v>
      </c>
      <c r="D317" s="10">
        <v>2132.1</v>
      </c>
    </row>
    <row r="318" spans="1:4" x14ac:dyDescent="0.25">
      <c r="A318" s="2" t="str">
        <f>"4.2.1.00.05- Receitas Financeiras - Convênio"</f>
        <v>4.2.1.00.05- Receitas Financeiras - Convênio</v>
      </c>
      <c r="B318" s="10">
        <v>131847.35</v>
      </c>
      <c r="C318" s="10">
        <v>0</v>
      </c>
      <c r="D318" s="10">
        <v>131847.35</v>
      </c>
    </row>
    <row r="319" spans="1:4" x14ac:dyDescent="0.25">
      <c r="A319" s="2" t="str">
        <f>"4.2.2.00.00- VARIACOES MONETARIAS ATIVAS"</f>
        <v>4.2.2.00.00- VARIACOES MONETARIAS ATIVAS</v>
      </c>
      <c r="B319" s="10">
        <v>958.43</v>
      </c>
      <c r="C319" s="10">
        <v>57.56</v>
      </c>
      <c r="D319" s="10">
        <v>1015.99</v>
      </c>
    </row>
    <row r="320" spans="1:4" x14ac:dyDescent="0.25">
      <c r="A320" s="2" t="str">
        <f>"4.2.2.00.01- Variações monetárias ativas"</f>
        <v>4.2.2.00.01- Variações monetárias ativas</v>
      </c>
      <c r="B320" s="10">
        <v>958.43</v>
      </c>
      <c r="C320" s="10">
        <v>57.56</v>
      </c>
      <c r="D320" s="10">
        <v>1015.99</v>
      </c>
    </row>
    <row r="321" spans="1:4" x14ac:dyDescent="0.25">
      <c r="A321" s="2" t="str">
        <f>"4.3.0.00.00- OUTRAS RECEITAS"</f>
        <v>4.3.0.00.00- OUTRAS RECEITAS</v>
      </c>
      <c r="B321" s="10">
        <v>1316921.6399999999</v>
      </c>
      <c r="C321" s="10">
        <v>4242301.3899999997</v>
      </c>
      <c r="D321" s="10">
        <v>5559223.0300000003</v>
      </c>
    </row>
    <row r="322" spans="1:4" x14ac:dyDescent="0.25">
      <c r="A322" s="2" t="str">
        <f>"4.3.1.00.00- OUTRAS RECEITAS"</f>
        <v>4.3.1.00.00- OUTRAS RECEITAS</v>
      </c>
      <c r="B322" s="10">
        <v>1316921.6399999999</v>
      </c>
      <c r="C322" s="10">
        <v>4242301.3899999997</v>
      </c>
      <c r="D322" s="10">
        <v>5559223.0300000003</v>
      </c>
    </row>
    <row r="323" spans="1:4" x14ac:dyDescent="0.25">
      <c r="A323" s="2" t="str">
        <f>"4.3.1.00.04- Receitas Diversas"</f>
        <v>4.3.1.00.04- Receitas Diversas</v>
      </c>
      <c r="B323" s="10">
        <v>779443.88</v>
      </c>
      <c r="C323" s="10">
        <v>62301.39</v>
      </c>
      <c r="D323" s="10">
        <v>841745.27</v>
      </c>
    </row>
    <row r="324" spans="1:4" x14ac:dyDescent="0.25">
      <c r="A324" s="2" t="str">
        <f>"4.3.1.00.05- Ganhos ou perdas de Capital"</f>
        <v>4.3.1.00.05- Ganhos ou perdas de Capital</v>
      </c>
      <c r="B324" s="10">
        <v>9840</v>
      </c>
      <c r="C324" s="10">
        <v>0</v>
      </c>
      <c r="D324" s="10">
        <v>9840</v>
      </c>
    </row>
    <row r="325" spans="1:4" x14ac:dyDescent="0.25">
      <c r="A325" s="2" t="str">
        <f>"4.3.1.00.07- Concessão de Abrigo de ônibus"</f>
        <v>4.3.1.00.07- Concessão de Abrigo de ônibus</v>
      </c>
      <c r="B325" s="10">
        <v>527637.76000000001</v>
      </c>
      <c r="C325" s="10">
        <v>0</v>
      </c>
      <c r="D325" s="10">
        <v>527637.76000000001</v>
      </c>
    </row>
    <row r="326" spans="1:4" x14ac:dyDescent="0.25">
      <c r="A326" s="2" t="str">
        <f>"4.3.1.00.08- Reversao de Provisoes"</f>
        <v>4.3.1.00.08- Reversao de Provisoes</v>
      </c>
      <c r="B326" s="10">
        <v>0</v>
      </c>
      <c r="C326" s="10">
        <v>4180000</v>
      </c>
      <c r="D326" s="10">
        <v>4180000</v>
      </c>
    </row>
    <row r="327" spans="1:4" x14ac:dyDescent="0.25">
      <c r="A327" s="2" t="str">
        <f>""</f>
        <v/>
      </c>
      <c r="B327" s="3" t="str">
        <f>""</f>
        <v/>
      </c>
      <c r="C327" s="3" t="str">
        <f>""</f>
        <v/>
      </c>
      <c r="D327" s="3" t="str">
        <f>""</f>
        <v/>
      </c>
    </row>
    <row r="328" spans="1:4" x14ac:dyDescent="0.25">
      <c r="A328" s="2" t="str">
        <f>""</f>
        <v/>
      </c>
      <c r="B328" s="3" t="str">
        <f>""</f>
        <v/>
      </c>
      <c r="C328" s="3" t="str">
        <f>""</f>
        <v/>
      </c>
      <c r="D328" s="3" t="str">
        <f>""</f>
        <v/>
      </c>
    </row>
    <row r="329" spans="1:4" x14ac:dyDescent="0.25">
      <c r="A329" s="2" t="str">
        <f>""</f>
        <v/>
      </c>
      <c r="B329" s="3" t="str">
        <f>""</f>
        <v/>
      </c>
      <c r="C329" s="3" t="str">
        <f>""</f>
        <v/>
      </c>
      <c r="D329" s="3" t="str">
        <f>""</f>
        <v/>
      </c>
    </row>
    <row r="330" spans="1:4" x14ac:dyDescent="0.25">
      <c r="A330" s="2" t="str">
        <f>""</f>
        <v/>
      </c>
      <c r="B330" s="3" t="str">
        <f>""</f>
        <v/>
      </c>
      <c r="C330" s="3" t="str">
        <f>""</f>
        <v/>
      </c>
      <c r="D330" s="3" t="str">
        <f>""</f>
        <v/>
      </c>
    </row>
    <row r="331" spans="1:4" x14ac:dyDescent="0.25">
      <c r="A331" s="2" t="str">
        <f>""</f>
        <v/>
      </c>
      <c r="B331" s="3" t="str">
        <f>""</f>
        <v/>
      </c>
      <c r="C331" s="3" t="str">
        <f>""</f>
        <v/>
      </c>
      <c r="D331" s="3" t="str">
        <f>""</f>
        <v/>
      </c>
    </row>
    <row r="332" spans="1:4" x14ac:dyDescent="0.25">
      <c r="A332" s="2" t="str">
        <f>""</f>
        <v/>
      </c>
      <c r="B332" s="3" t="str">
        <f>""</f>
        <v/>
      </c>
      <c r="C332" s="3" t="str">
        <f>""</f>
        <v/>
      </c>
      <c r="D332" s="3" t="str">
        <f>""</f>
        <v/>
      </c>
    </row>
    <row r="333" spans="1:4" x14ac:dyDescent="0.25">
      <c r="A333" s="2" t="str">
        <f>""</f>
        <v/>
      </c>
      <c r="B333" s="3" t="str">
        <f>""</f>
        <v/>
      </c>
      <c r="C333" s="3" t="str">
        <f>""</f>
        <v/>
      </c>
      <c r="D333" s="3" t="str">
        <f>""</f>
        <v/>
      </c>
    </row>
    <row r="334" spans="1:4" x14ac:dyDescent="0.25">
      <c r="A334" s="2" t="str">
        <f>""</f>
        <v/>
      </c>
      <c r="B334" s="3" t="str">
        <f>""</f>
        <v/>
      </c>
      <c r="C334" s="3" t="str">
        <f>""</f>
        <v/>
      </c>
      <c r="D334" s="3" t="str">
        <f>""</f>
        <v/>
      </c>
    </row>
    <row r="335" spans="1:4" x14ac:dyDescent="0.25">
      <c r="A335" s="2" t="str">
        <f>""</f>
        <v/>
      </c>
      <c r="B335" s="3" t="str">
        <f>""</f>
        <v/>
      </c>
      <c r="C335" s="3" t="str">
        <f>""</f>
        <v/>
      </c>
      <c r="D335" s="3" t="str">
        <f>""</f>
        <v/>
      </c>
    </row>
    <row r="336" spans="1:4" x14ac:dyDescent="0.25">
      <c r="A336" s="2" t="str">
        <f>""</f>
        <v/>
      </c>
      <c r="B336" s="3" t="str">
        <f>""</f>
        <v/>
      </c>
      <c r="C336" s="3" t="str">
        <f>""</f>
        <v/>
      </c>
      <c r="D336" s="3" t="str">
        <f>""</f>
        <v/>
      </c>
    </row>
    <row r="337" spans="1:4" x14ac:dyDescent="0.25">
      <c r="A337" s="2" t="str">
        <f>""</f>
        <v/>
      </c>
      <c r="B337" s="3" t="str">
        <f>""</f>
        <v/>
      </c>
      <c r="C337" s="3" t="str">
        <f>""</f>
        <v/>
      </c>
      <c r="D337" s="3" t="str">
        <f>""</f>
        <v/>
      </c>
    </row>
    <row r="338" spans="1:4" x14ac:dyDescent="0.25">
      <c r="A338" s="2" t="str">
        <f>""</f>
        <v/>
      </c>
      <c r="B338" s="3" t="str">
        <f>""</f>
        <v/>
      </c>
      <c r="C338" s="3" t="str">
        <f>""</f>
        <v/>
      </c>
      <c r="D338" s="3" t="str">
        <f>""</f>
        <v/>
      </c>
    </row>
    <row r="339" spans="1:4" x14ac:dyDescent="0.25">
      <c r="A339" s="2" t="str">
        <f>""</f>
        <v/>
      </c>
      <c r="B339" s="3" t="str">
        <f>""</f>
        <v/>
      </c>
      <c r="C339" s="3" t="str">
        <f>""</f>
        <v/>
      </c>
      <c r="D339" s="3" t="str">
        <f>""</f>
        <v/>
      </c>
    </row>
    <row r="340" spans="1:4" x14ac:dyDescent="0.25">
      <c r="A340" s="2" t="str">
        <f>""</f>
        <v/>
      </c>
      <c r="B340" s="3" t="str">
        <f>""</f>
        <v/>
      </c>
      <c r="C340" s="3" t="str">
        <f>""</f>
        <v/>
      </c>
      <c r="D340" s="3" t="str">
        <f>""</f>
        <v/>
      </c>
    </row>
    <row r="341" spans="1:4" x14ac:dyDescent="0.25">
      <c r="A341" s="2" t="str">
        <f>""</f>
        <v/>
      </c>
      <c r="B341" s="3" t="str">
        <f>""</f>
        <v/>
      </c>
      <c r="C341" s="3" t="str">
        <f>""</f>
        <v/>
      </c>
      <c r="D341" s="3" t="str">
        <f>""</f>
        <v/>
      </c>
    </row>
    <row r="342" spans="1:4" x14ac:dyDescent="0.25">
      <c r="A342" s="2" t="str">
        <f>""</f>
        <v/>
      </c>
      <c r="B342" s="3" t="str">
        <f>""</f>
        <v/>
      </c>
      <c r="C342" s="3" t="str">
        <f>""</f>
        <v/>
      </c>
      <c r="D342" s="3" t="str">
        <f>""</f>
        <v/>
      </c>
    </row>
    <row r="343" spans="1:4" x14ac:dyDescent="0.25">
      <c r="A343" s="2" t="str">
        <f>""</f>
        <v/>
      </c>
      <c r="B343" s="3" t="str">
        <f>""</f>
        <v/>
      </c>
      <c r="C343" s="3" t="str">
        <f>""</f>
        <v/>
      </c>
      <c r="D343" s="3" t="str">
        <f>""</f>
        <v/>
      </c>
    </row>
    <row r="344" spans="1:4" x14ac:dyDescent="0.25">
      <c r="A344" s="2" t="str">
        <f>""</f>
        <v/>
      </c>
      <c r="B344" s="3" t="str">
        <f>""</f>
        <v/>
      </c>
      <c r="C344" s="3" t="str">
        <f>""</f>
        <v/>
      </c>
      <c r="D344" s="3" t="str">
        <f>""</f>
        <v/>
      </c>
    </row>
    <row r="345" spans="1:4" x14ac:dyDescent="0.25">
      <c r="A345" s="2" t="str">
        <f>""</f>
        <v/>
      </c>
      <c r="B345" s="3" t="str">
        <f>""</f>
        <v/>
      </c>
      <c r="C345" s="3" t="str">
        <f>""</f>
        <v/>
      </c>
      <c r="D345" s="3" t="str">
        <f>""</f>
        <v/>
      </c>
    </row>
    <row r="346" spans="1:4" x14ac:dyDescent="0.25">
      <c r="A346" s="2" t="str">
        <f>""</f>
        <v/>
      </c>
      <c r="B346" s="3" t="str">
        <f>""</f>
        <v/>
      </c>
      <c r="C346" s="3" t="str">
        <f>""</f>
        <v/>
      </c>
      <c r="D346" s="3" t="str">
        <f>""</f>
        <v/>
      </c>
    </row>
    <row r="347" spans="1:4" x14ac:dyDescent="0.25">
      <c r="A347" s="2" t="str">
        <f>""</f>
        <v/>
      </c>
      <c r="B347" s="3" t="str">
        <f>""</f>
        <v/>
      </c>
      <c r="C347" s="3" t="str">
        <f>""</f>
        <v/>
      </c>
      <c r="D347" s="3" t="str">
        <f>""</f>
        <v/>
      </c>
    </row>
    <row r="348" spans="1:4" x14ac:dyDescent="0.25">
      <c r="A348" s="2" t="str">
        <f>""</f>
        <v/>
      </c>
      <c r="B348" s="3" t="str">
        <f>""</f>
        <v/>
      </c>
      <c r="C348" s="3" t="str">
        <f>""</f>
        <v/>
      </c>
      <c r="D348" s="3" t="str">
        <f>""</f>
        <v/>
      </c>
    </row>
    <row r="349" spans="1:4" x14ac:dyDescent="0.25">
      <c r="A349" s="2" t="str">
        <f>""</f>
        <v/>
      </c>
      <c r="B349" s="3" t="str">
        <f>""</f>
        <v/>
      </c>
      <c r="C349" s="3" t="str">
        <f>""</f>
        <v/>
      </c>
      <c r="D349" s="3" t="str">
        <f>""</f>
        <v/>
      </c>
    </row>
    <row r="350" spans="1:4" x14ac:dyDescent="0.25">
      <c r="A350" s="2" t="str">
        <f>""</f>
        <v/>
      </c>
      <c r="B350" s="3" t="str">
        <f>""</f>
        <v/>
      </c>
      <c r="C350" s="3" t="str">
        <f>""</f>
        <v/>
      </c>
      <c r="D350" s="3" t="str">
        <f>""</f>
        <v/>
      </c>
    </row>
    <row r="351" spans="1:4" ht="15.75" thickBot="1" x14ac:dyDescent="0.3">
      <c r="A351" s="4" t="str">
        <f>"APURACAO DE RESULTADOS"</f>
        <v>APURACAO DE RESULTADOS</v>
      </c>
      <c r="B351" s="5" t="str">
        <f>""</f>
        <v/>
      </c>
      <c r="C351" s="5" t="str">
        <f>""</f>
        <v/>
      </c>
      <c r="D351" s="5" t="str">
        <f>""</f>
        <v/>
      </c>
    </row>
    <row r="352" spans="1:4" x14ac:dyDescent="0.25">
      <c r="A352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0"/>
  <sheetViews>
    <sheetView workbookViewId="0">
      <selection activeCell="E1" sqref="E1"/>
    </sheetView>
  </sheetViews>
  <sheetFormatPr defaultRowHeight="15" x14ac:dyDescent="0.25"/>
  <cols>
    <col min="1" max="1" width="71.5703125" bestFit="1" customWidth="1"/>
    <col min="2" max="2" width="14.5703125" bestFit="1" customWidth="1"/>
    <col min="3" max="3" width="14.28515625" bestFit="1" customWidth="1"/>
    <col min="4" max="4" width="14.5703125" bestFit="1" customWidth="1"/>
  </cols>
  <sheetData>
    <row r="1" spans="1:4" ht="19.5" thickBot="1" x14ac:dyDescent="0.35">
      <c r="A1" s="1" t="s">
        <v>2</v>
      </c>
      <c r="B1" s="1"/>
      <c r="C1" s="1"/>
      <c r="D1" s="1"/>
    </row>
    <row r="2" spans="1:4" ht="15.75" thickBot="1" x14ac:dyDescent="0.3">
      <c r="A2" s="8" t="s">
        <v>13</v>
      </c>
      <c r="B2" s="9" t="s">
        <v>14</v>
      </c>
      <c r="C2" s="9" t="s">
        <v>15</v>
      </c>
      <c r="D2" s="9" t="s">
        <v>16</v>
      </c>
    </row>
    <row r="3" spans="1:4" x14ac:dyDescent="0.25">
      <c r="A3" s="6" t="str">
        <f>"ATIVO"</f>
        <v>ATIVO</v>
      </c>
      <c r="B3" s="7" t="str">
        <f>""</f>
        <v/>
      </c>
      <c r="C3" s="7" t="str">
        <f>""</f>
        <v/>
      </c>
      <c r="D3" s="7" t="str">
        <f>""</f>
        <v/>
      </c>
    </row>
    <row r="4" spans="1:4" x14ac:dyDescent="0.25">
      <c r="A4" s="2" t="str">
        <f>"1.0.0.00.00- ATIVO"</f>
        <v>1.0.0.00.00- ATIVO</v>
      </c>
      <c r="B4" s="10">
        <v>28279231.469999999</v>
      </c>
      <c r="C4" s="10">
        <v>1640309.83</v>
      </c>
      <c r="D4" s="10">
        <v>29919541.300000001</v>
      </c>
    </row>
    <row r="5" spans="1:4" x14ac:dyDescent="0.25">
      <c r="A5" s="2" t="str">
        <f>"1.1.0.00.00- ATIVO CIRCULANTE"</f>
        <v>1.1.0.00.00- ATIVO CIRCULANTE</v>
      </c>
      <c r="B5" s="10">
        <v>18600343.07</v>
      </c>
      <c r="C5" s="10">
        <v>1569061.8</v>
      </c>
      <c r="D5" s="10">
        <v>20169404.870000001</v>
      </c>
    </row>
    <row r="6" spans="1:4" x14ac:dyDescent="0.25">
      <c r="A6" s="2" t="str">
        <f>"1.1.1.00.00- DISPONIVEL"</f>
        <v>1.1.1.00.00- DISPONIVEL</v>
      </c>
      <c r="B6" s="10">
        <v>6816705.9500000002</v>
      </c>
      <c r="C6" s="10">
        <v>1201744.73</v>
      </c>
      <c r="D6" s="10">
        <v>8018450.6799999997</v>
      </c>
    </row>
    <row r="7" spans="1:4" x14ac:dyDescent="0.25">
      <c r="A7" s="2" t="str">
        <f>"1.1.1.02.00- BANCOS C/MOVIMENTO"</f>
        <v>1.1.1.02.00- BANCOS C/MOVIMENTO</v>
      </c>
      <c r="B7" s="10">
        <v>1040703.08</v>
      </c>
      <c r="C7" s="10">
        <v>-530067.76</v>
      </c>
      <c r="D7" s="10">
        <v>510635.32</v>
      </c>
    </row>
    <row r="8" spans="1:4" x14ac:dyDescent="0.25">
      <c r="A8" s="2" t="str">
        <f>"1.1.1.02.11- Banco do Brasil S/A - 720.000-5"</f>
        <v>1.1.1.02.11- Banco do Brasil S/A - 720.000-5</v>
      </c>
      <c r="B8" s="10">
        <v>7730.97</v>
      </c>
      <c r="C8" s="10">
        <v>-7706.31</v>
      </c>
      <c r="D8" s="10">
        <v>24.66</v>
      </c>
    </row>
    <row r="9" spans="1:4" x14ac:dyDescent="0.25">
      <c r="A9" s="2" t="str">
        <f>"1.1.1.02.12- Banco do Brasil S/A - 720.001-3"</f>
        <v>1.1.1.02.12- Banco do Brasil S/A - 720.001-3</v>
      </c>
      <c r="B9" s="10">
        <v>169900.26</v>
      </c>
      <c r="C9" s="10">
        <v>-169723.3</v>
      </c>
      <c r="D9" s="10">
        <v>176.96</v>
      </c>
    </row>
    <row r="10" spans="1:4" x14ac:dyDescent="0.25">
      <c r="A10" s="2" t="str">
        <f>"1.1.1.02.15- Banco do Brasil S/A - 7.218-4"</f>
        <v>1.1.1.02.15- Banco do Brasil S/A - 7.218-4</v>
      </c>
      <c r="B10" s="10">
        <v>19159.189999999999</v>
      </c>
      <c r="C10" s="10">
        <v>-18611.55</v>
      </c>
      <c r="D10" s="10">
        <v>547.64</v>
      </c>
    </row>
    <row r="11" spans="1:4" x14ac:dyDescent="0.25">
      <c r="A11" s="2" t="str">
        <f>"1.1.1.02.19- Caixa Econ. Federal-C/C 1223-6"</f>
        <v>1.1.1.02.19- Caixa Econ. Federal-C/C 1223-6</v>
      </c>
      <c r="B11" s="10">
        <v>15243.21</v>
      </c>
      <c r="C11" s="10">
        <v>0</v>
      </c>
      <c r="D11" s="10">
        <v>15243.21</v>
      </c>
    </row>
    <row r="12" spans="1:4" x14ac:dyDescent="0.25">
      <c r="A12" s="2" t="str">
        <f>"1.1.1.02.28- Bradesco S/A - 2602-6"</f>
        <v>1.1.1.02.28- Bradesco S/A - 2602-6</v>
      </c>
      <c r="B12" s="10">
        <v>0</v>
      </c>
      <c r="C12" s="10">
        <v>320934.09999999998</v>
      </c>
      <c r="D12" s="10">
        <v>320934.09999999998</v>
      </c>
    </row>
    <row r="13" spans="1:4" x14ac:dyDescent="0.25">
      <c r="A13" s="2" t="str">
        <f>"1.1.1.02.29- Caixa Econômica Federal - 3289-3 Arrecad"</f>
        <v>1.1.1.02.29- Caixa Econômica Federal - 3289-3 Arrecad</v>
      </c>
      <c r="B13" s="10">
        <v>20039.97</v>
      </c>
      <c r="C13" s="10">
        <v>-7695.32</v>
      </c>
      <c r="D13" s="10">
        <v>12344.65</v>
      </c>
    </row>
    <row r="14" spans="1:4" x14ac:dyDescent="0.25">
      <c r="A14" s="2" t="str">
        <f>"1.1.1.02.30- Caixa Econômica Federal - 3291-5 Movimen"</f>
        <v>1.1.1.02.30- Caixa Econômica Federal - 3291-5 Movimen</v>
      </c>
      <c r="B14" s="10">
        <v>4960.42</v>
      </c>
      <c r="C14" s="10">
        <v>-4391.67</v>
      </c>
      <c r="D14" s="10">
        <v>568.75</v>
      </c>
    </row>
    <row r="15" spans="1:4" x14ac:dyDescent="0.25">
      <c r="A15" s="2" t="str">
        <f>"1.1.1.02.31- Caixa Economica Federal - 3293-1 ROT"</f>
        <v>1.1.1.02.31- Caixa Economica Federal - 3293-1 ROT</v>
      </c>
      <c r="B15" s="10">
        <v>372581.87</v>
      </c>
      <c r="C15" s="10">
        <v>-372581.87</v>
      </c>
      <c r="D15" s="10">
        <v>0</v>
      </c>
    </row>
    <row r="16" spans="1:4" x14ac:dyDescent="0.25">
      <c r="A16" s="2" t="str">
        <f>"1.1.1.02.32- Caixa Econômica Federal - 3292-3 Leilão"</f>
        <v>1.1.1.02.32- Caixa Econômica Federal - 3292-3 Leilão</v>
      </c>
      <c r="B16" s="10">
        <v>25.69</v>
      </c>
      <c r="C16" s="10">
        <v>0</v>
      </c>
      <c r="D16" s="10">
        <v>25.69</v>
      </c>
    </row>
    <row r="17" spans="1:4" x14ac:dyDescent="0.25">
      <c r="A17" s="2" t="str">
        <f>"1.1.1.02.39- Caixa Econômica Federal - 3301-6 Mídia"</f>
        <v>1.1.1.02.39- Caixa Econômica Federal - 3301-6 Mídia</v>
      </c>
      <c r="B17" s="10">
        <v>13132.1</v>
      </c>
      <c r="C17" s="10">
        <v>5359.47</v>
      </c>
      <c r="D17" s="10">
        <v>18491.57</v>
      </c>
    </row>
    <row r="18" spans="1:4" x14ac:dyDescent="0.25">
      <c r="A18" s="2" t="str">
        <f>"1.1.1.02.40- Caixa Econômica Federal - 3302-4 Mídia"</f>
        <v>1.1.1.02.40- Caixa Econômica Federal - 3302-4 Mídia</v>
      </c>
      <c r="B18" s="10">
        <v>105112.18</v>
      </c>
      <c r="C18" s="10">
        <v>-48032.57</v>
      </c>
      <c r="D18" s="10">
        <v>57079.61</v>
      </c>
    </row>
    <row r="19" spans="1:4" x14ac:dyDescent="0.25">
      <c r="A19" s="2" t="str">
        <f>"1.1.1.02.41- Caixa Econômica Federal - 3303-2Rotativo"</f>
        <v>1.1.1.02.41- Caixa Econômica Federal - 3303-2Rotativo</v>
      </c>
      <c r="B19" s="10">
        <v>294642.8</v>
      </c>
      <c r="C19" s="10">
        <v>-227647.99</v>
      </c>
      <c r="D19" s="10">
        <v>66994.81</v>
      </c>
    </row>
    <row r="20" spans="1:4" x14ac:dyDescent="0.25">
      <c r="A20" s="2" t="str">
        <f>"1.1.1.02.42- Caixa Econômica Federal - 3304-0Caução"</f>
        <v>1.1.1.02.42- Caixa Econômica Federal - 3304-0Caução</v>
      </c>
      <c r="B20" s="10">
        <v>18174.419999999998</v>
      </c>
      <c r="C20" s="10">
        <v>0</v>
      </c>
      <c r="D20" s="10">
        <v>18174.419999999998</v>
      </c>
    </row>
    <row r="21" spans="1:4" x14ac:dyDescent="0.25">
      <c r="A21" s="2" t="str">
        <f>"1.1.1.02.46- Caixa Econômica Federal - 3309-1 Rot int"</f>
        <v>1.1.1.02.46- Caixa Econômica Federal - 3309-1 Rot int</v>
      </c>
      <c r="B21" s="10">
        <v>0</v>
      </c>
      <c r="C21" s="10">
        <v>29.25</v>
      </c>
      <c r="D21" s="10">
        <v>29.25</v>
      </c>
    </row>
    <row r="22" spans="1:4" x14ac:dyDescent="0.25">
      <c r="A22" s="2" t="str">
        <f>"1.1.1.03.00- APLICACOES FINANCEIRAS"</f>
        <v>1.1.1.03.00- APLICACOES FINANCEIRAS</v>
      </c>
      <c r="B22" s="10">
        <v>2038586.76</v>
      </c>
      <c r="C22" s="10">
        <v>1409103.01</v>
      </c>
      <c r="D22" s="10">
        <v>3447689.77</v>
      </c>
    </row>
    <row r="23" spans="1:4" x14ac:dyDescent="0.25">
      <c r="A23" s="2" t="str">
        <f>"1.1.1.03.06- Banco do Brasil S/A-720000-5 APL"</f>
        <v>1.1.1.03.06- Banco do Brasil S/A-720000-5 APL</v>
      </c>
      <c r="B23" s="10">
        <v>1025.3900000000001</v>
      </c>
      <c r="C23" s="10">
        <v>-1025.3900000000001</v>
      </c>
      <c r="D23" s="10">
        <v>0</v>
      </c>
    </row>
    <row r="24" spans="1:4" x14ac:dyDescent="0.25">
      <c r="A24" s="2" t="str">
        <f>"1.1.1.03.23- Caixa Econômica Federal - 3291-5"</f>
        <v>1.1.1.03.23- Caixa Econômica Federal - 3291-5</v>
      </c>
      <c r="B24" s="10">
        <v>916682.59</v>
      </c>
      <c r="C24" s="10">
        <v>1402231.17</v>
      </c>
      <c r="D24" s="10">
        <v>2318913.7599999998</v>
      </c>
    </row>
    <row r="25" spans="1:4" x14ac:dyDescent="0.25">
      <c r="A25" s="2" t="str">
        <f>"1.1.1.03.25- Caixa Econômica Federal - 3292-3 Leilão"</f>
        <v>1.1.1.03.25- Caixa Econômica Federal - 3292-3 Leilão</v>
      </c>
      <c r="B25" s="10">
        <v>67427.64</v>
      </c>
      <c r="C25" s="10">
        <v>569.16999999999996</v>
      </c>
      <c r="D25" s="10">
        <v>67996.81</v>
      </c>
    </row>
    <row r="26" spans="1:4" x14ac:dyDescent="0.25">
      <c r="A26" s="2" t="str">
        <f>"1.1.1.03.26- Caixa Econômica Federal - 3295-8Leilão13"</f>
        <v>1.1.1.03.26- Caixa Econômica Federal - 3295-8Leilão13</v>
      </c>
      <c r="B26" s="10">
        <v>187333.5</v>
      </c>
      <c r="C26" s="10">
        <v>1581.31</v>
      </c>
      <c r="D26" s="10">
        <v>188914.81</v>
      </c>
    </row>
    <row r="27" spans="1:4" x14ac:dyDescent="0.25">
      <c r="A27" s="2" t="str">
        <f>"1.1.1.03.29- Caixa Econômica Federal - 3298-2Leilão15"</f>
        <v>1.1.1.03.29- Caixa Econômica Federal - 3298-2Leilão15</v>
      </c>
      <c r="B27" s="10">
        <v>93043.38</v>
      </c>
      <c r="C27" s="10">
        <v>725.16</v>
      </c>
      <c r="D27" s="10">
        <v>93768.54</v>
      </c>
    </row>
    <row r="28" spans="1:4" x14ac:dyDescent="0.25">
      <c r="A28" s="2" t="str">
        <f>"1.1.1.03.30- Caixa Econômica Federal - 3299-0Leilão16"</f>
        <v>1.1.1.03.30- Caixa Econômica Federal - 3299-0Leilão16</v>
      </c>
      <c r="B28" s="10">
        <v>116202.42</v>
      </c>
      <c r="C28" s="10">
        <v>980.88</v>
      </c>
      <c r="D28" s="10">
        <v>117183.3</v>
      </c>
    </row>
    <row r="29" spans="1:4" x14ac:dyDescent="0.25">
      <c r="A29" s="2" t="str">
        <f>"1.1.1.03.31- Caixa Econômica Federal - 3300-8Leilão16"</f>
        <v>1.1.1.03.31- Caixa Econômica Federal - 3300-8Leilão16</v>
      </c>
      <c r="B29" s="10">
        <v>26889.919999999998</v>
      </c>
      <c r="C29" s="10">
        <v>209.57</v>
      </c>
      <c r="D29" s="10">
        <v>27099.49</v>
      </c>
    </row>
    <row r="30" spans="1:4" x14ac:dyDescent="0.25">
      <c r="A30" s="2" t="str">
        <f>"1.1.1.03.32- Caixa Econômica - 3301-6 Mídia"</f>
        <v>1.1.1.03.32- Caixa Econômica - 3301-6 Mídia</v>
      </c>
      <c r="B30" s="10">
        <v>64274.07</v>
      </c>
      <c r="C30" s="10">
        <v>576.92999999999995</v>
      </c>
      <c r="D30" s="10">
        <v>64851</v>
      </c>
    </row>
    <row r="31" spans="1:4" x14ac:dyDescent="0.25">
      <c r="A31" s="2" t="str">
        <f>"1.1.1.03.35- Caixa Econômica - 3304-0Caução"</f>
        <v>1.1.1.03.35- Caixa Econômica - 3304-0Caução</v>
      </c>
      <c r="B31" s="10">
        <v>377271.93</v>
      </c>
      <c r="C31" s="10">
        <v>3203.76</v>
      </c>
      <c r="D31" s="10">
        <v>380475.69</v>
      </c>
    </row>
    <row r="32" spans="1:4" x14ac:dyDescent="0.25">
      <c r="A32" s="2" t="str">
        <f>"1.1.1.03.36- Caixa Econômica - 3305-9Sucumb."</f>
        <v>1.1.1.03.36- Caixa Econômica - 3305-9Sucumb.</v>
      </c>
      <c r="B32" s="10">
        <v>4339.29</v>
      </c>
      <c r="C32" s="10">
        <v>34.47</v>
      </c>
      <c r="D32" s="10">
        <v>4373.76</v>
      </c>
    </row>
    <row r="33" spans="1:4" x14ac:dyDescent="0.25">
      <c r="A33" s="2" t="str">
        <f>"1.1.1.03.38- Caixa Econômica - 3308-3Leilão"</f>
        <v>1.1.1.03.38- Caixa Econômica - 3308-3Leilão</v>
      </c>
      <c r="B33" s="10">
        <v>2011.2</v>
      </c>
      <c r="C33" s="10">
        <v>15.98</v>
      </c>
      <c r="D33" s="10">
        <v>2027.18</v>
      </c>
    </row>
    <row r="34" spans="1:4" x14ac:dyDescent="0.25">
      <c r="A34" s="2" t="str">
        <f>"1.1.1.03.41- Caixa Econômica - 531-0 Aci moto poupanç"</f>
        <v>1.1.1.03.41- Caixa Econômica - 531-0 Aci moto poupanç</v>
      </c>
      <c r="B34" s="10">
        <v>64205.13</v>
      </c>
      <c r="C34" s="10">
        <v>0</v>
      </c>
      <c r="D34" s="10">
        <v>64205.13</v>
      </c>
    </row>
    <row r="35" spans="1:4" x14ac:dyDescent="0.25">
      <c r="A35" s="2" t="str">
        <f>"1.1.1.03.42- Caixa Econômica - 532-9 Acid Ped Poupanç"</f>
        <v>1.1.1.03.42- Caixa Econômica - 532-9 Acid Ped Poupanç</v>
      </c>
      <c r="B35" s="10">
        <v>33217.160000000003</v>
      </c>
      <c r="C35" s="10">
        <v>0</v>
      </c>
      <c r="D35" s="10">
        <v>33217.160000000003</v>
      </c>
    </row>
    <row r="36" spans="1:4" x14ac:dyDescent="0.25">
      <c r="A36" s="2" t="str">
        <f>"1.1.1.03.43- Caixa Econômica - 534-5 Codemig Poupança"</f>
        <v>1.1.1.03.43- Caixa Econômica - 534-5 Codemig Poupança</v>
      </c>
      <c r="B36" s="10">
        <v>24469.84</v>
      </c>
      <c r="C36" s="10">
        <v>0</v>
      </c>
      <c r="D36" s="10">
        <v>24469.84</v>
      </c>
    </row>
    <row r="37" spans="1:4" x14ac:dyDescent="0.25">
      <c r="A37" s="2" t="str">
        <f>"1.1.1.03.44- Caixa Econômica - 535-3 Turblog Poupança"</f>
        <v>1.1.1.03.44- Caixa Econômica - 535-3 Turblog Poupança</v>
      </c>
      <c r="B37" s="10">
        <v>60193.3</v>
      </c>
      <c r="C37" s="10">
        <v>0</v>
      </c>
      <c r="D37" s="10">
        <v>60193.3</v>
      </c>
    </row>
    <row r="38" spans="1:4" x14ac:dyDescent="0.25">
      <c r="A38" s="2" t="str">
        <f>"1.1.1.04.00- BANCOS C/VINCULADA-PAMEH"</f>
        <v>1.1.1.04.00- BANCOS C/VINCULADA-PAMEH</v>
      </c>
      <c r="B38" s="10">
        <v>3737416.11</v>
      </c>
      <c r="C38" s="10">
        <v>322709.48</v>
      </c>
      <c r="D38" s="10">
        <v>4060125.59</v>
      </c>
    </row>
    <row r="39" spans="1:4" x14ac:dyDescent="0.25">
      <c r="A39" s="2" t="str">
        <f>"1.1.1.04.04- Mercantil do Brasil 02733249-2"</f>
        <v>1.1.1.04.04- Mercantil do Brasil 02733249-2</v>
      </c>
      <c r="B39" s="10">
        <v>207.81</v>
      </c>
      <c r="C39" s="10">
        <v>0</v>
      </c>
      <c r="D39" s="10">
        <v>207.81</v>
      </c>
    </row>
    <row r="40" spans="1:4" x14ac:dyDescent="0.25">
      <c r="A40" s="2" t="str">
        <f>"1.1.1.04.07- Caixa Econômica Federal - 3294-0"</f>
        <v>1.1.1.04.07- Caixa Econômica Federal - 3294-0</v>
      </c>
      <c r="B40" s="10">
        <v>-515.4</v>
      </c>
      <c r="C40" s="10">
        <v>565.4</v>
      </c>
      <c r="D40" s="10">
        <v>50</v>
      </c>
    </row>
    <row r="41" spans="1:4" x14ac:dyDescent="0.25">
      <c r="A41" s="2" t="str">
        <f>"1.1.1.04.08- Caixa Econômica Federal - 3294-0 Aplic."</f>
        <v>1.1.1.04.08- Caixa Econômica Federal - 3294-0 Aplic.</v>
      </c>
      <c r="B41" s="10">
        <v>3737723.7</v>
      </c>
      <c r="C41" s="10">
        <v>322144.08</v>
      </c>
      <c r="D41" s="10">
        <v>4059867.78</v>
      </c>
    </row>
    <row r="42" spans="1:4" x14ac:dyDescent="0.25">
      <c r="A42" s="2" t="str">
        <f>"1.1.2.00.00- REALIZAVEL A CURTO PRAZO"</f>
        <v>1.1.2.00.00- REALIZAVEL A CURTO PRAZO</v>
      </c>
      <c r="B42" s="10">
        <v>11783637.119999999</v>
      </c>
      <c r="C42" s="10">
        <v>367317.07</v>
      </c>
      <c r="D42" s="10">
        <v>12150954.189999999</v>
      </c>
    </row>
    <row r="43" spans="1:4" x14ac:dyDescent="0.25">
      <c r="A43" s="2" t="str">
        <f>"1.1.2.01.00- CONTAS A RECEBER"</f>
        <v>1.1.2.01.00- CONTAS A RECEBER</v>
      </c>
      <c r="B43" s="10">
        <v>6716011.6100000003</v>
      </c>
      <c r="C43" s="10">
        <v>397398.94</v>
      </c>
      <c r="D43" s="10">
        <v>7113410.5499999998</v>
      </c>
    </row>
    <row r="44" spans="1:4" x14ac:dyDescent="0.25">
      <c r="A44" s="2" t="str">
        <f>"1.1.2.01.89- Multas Transporte Coletivo"</f>
        <v>1.1.2.01.89- Multas Transporte Coletivo</v>
      </c>
      <c r="B44" s="10">
        <v>7950688.7000000002</v>
      </c>
      <c r="C44" s="10">
        <v>441554.38</v>
      </c>
      <c r="D44" s="10">
        <v>8392243.0800000001</v>
      </c>
    </row>
    <row r="45" spans="1:4" x14ac:dyDescent="0.25">
      <c r="A45" s="2" t="str">
        <f>"1.1.2.01.94- Midia Onibus a Receber"</f>
        <v>1.1.2.01.94- Midia Onibus a Receber</v>
      </c>
      <c r="B45" s="10">
        <v>786491.64</v>
      </c>
      <c r="C45" s="10">
        <v>0</v>
      </c>
      <c r="D45" s="10">
        <v>786491.64</v>
      </c>
    </row>
    <row r="46" spans="1:4" x14ac:dyDescent="0.25">
      <c r="A46" s="2" t="str">
        <f>"1.1.2.01.99- (-) Provisao para Perdas"</f>
        <v>1.1.2.01.99- (-) Provisao para Perdas</v>
      </c>
      <c r="B46" s="10">
        <v>-2021168.73</v>
      </c>
      <c r="C46" s="10">
        <v>-44155.44</v>
      </c>
      <c r="D46" s="10">
        <v>-2065324.17</v>
      </c>
    </row>
    <row r="47" spans="1:4" x14ac:dyDescent="0.25">
      <c r="A47" s="2" t="str">
        <f>"1.1.2.06.00- ADIANTAMENTO A EMPREGADOS"</f>
        <v>1.1.2.06.00- ADIANTAMENTO A EMPREGADOS</v>
      </c>
      <c r="B47" s="10">
        <v>1204435.93</v>
      </c>
      <c r="C47" s="10">
        <v>428286.14</v>
      </c>
      <c r="D47" s="10">
        <v>1632722.07</v>
      </c>
    </row>
    <row r="48" spans="1:4" x14ac:dyDescent="0.25">
      <c r="A48" s="2" t="str">
        <f>"1.1.2.06.01- Adiantamento de Ferias"</f>
        <v>1.1.2.06.01- Adiantamento de Ferias</v>
      </c>
      <c r="B48" s="10">
        <v>659091.59</v>
      </c>
      <c r="C48" s="10">
        <v>344120.93</v>
      </c>
      <c r="D48" s="10">
        <v>1003212.52</v>
      </c>
    </row>
    <row r="49" spans="1:4" x14ac:dyDescent="0.25">
      <c r="A49" s="2" t="str">
        <f>"1.1.2.06.02- Adiantamento de 13. Salario"</f>
        <v>1.1.2.06.02- Adiantamento de 13. Salario</v>
      </c>
      <c r="B49" s="10">
        <v>337124.07</v>
      </c>
      <c r="C49" s="10">
        <v>62314.48</v>
      </c>
      <c r="D49" s="10">
        <v>399438.55</v>
      </c>
    </row>
    <row r="50" spans="1:4" x14ac:dyDescent="0.25">
      <c r="A50" s="2" t="str">
        <f>"1.1.2.06.03- Adiant. de Salario/Parc. Ferias"</f>
        <v>1.1.2.06.03- Adiant. de Salario/Parc. Ferias</v>
      </c>
      <c r="B50" s="10">
        <v>107157.49</v>
      </c>
      <c r="C50" s="10">
        <v>10961.27</v>
      </c>
      <c r="D50" s="10">
        <v>118118.76</v>
      </c>
    </row>
    <row r="51" spans="1:4" x14ac:dyDescent="0.25">
      <c r="A51" s="2" t="str">
        <f>"1.1.2.06.06- Diferencas Salariais a Apropriar"</f>
        <v>1.1.2.06.06- Diferencas Salariais a Apropriar</v>
      </c>
      <c r="B51" s="10">
        <v>0</v>
      </c>
      <c r="C51" s="10">
        <v>7335.29</v>
      </c>
      <c r="D51" s="10">
        <v>7335.29</v>
      </c>
    </row>
    <row r="52" spans="1:4" x14ac:dyDescent="0.25">
      <c r="A52" s="2" t="str">
        <f>"1.1.2.06.07- Adiantamento Pensao s/ Ferias"</f>
        <v>1.1.2.06.07- Adiantamento Pensao s/ Ferias</v>
      </c>
      <c r="B52" s="10">
        <v>101062.78</v>
      </c>
      <c r="C52" s="10">
        <v>3554.17</v>
      </c>
      <c r="D52" s="10">
        <v>104616.95</v>
      </c>
    </row>
    <row r="53" spans="1:4" x14ac:dyDescent="0.25">
      <c r="A53" s="2" t="str">
        <f>"1.1.2.08.00- ALMOXARIFADO"</f>
        <v>1.1.2.08.00- ALMOXARIFADO</v>
      </c>
      <c r="B53" s="10">
        <v>296023.75</v>
      </c>
      <c r="C53" s="10">
        <v>-17807.310000000001</v>
      </c>
      <c r="D53" s="10">
        <v>278216.44</v>
      </c>
    </row>
    <row r="54" spans="1:4" x14ac:dyDescent="0.25">
      <c r="A54" s="2" t="str">
        <f>"1.1.2.08.01- Material em Estoque"</f>
        <v>1.1.2.08.01- Material em Estoque</v>
      </c>
      <c r="B54" s="10">
        <v>296023.75</v>
      </c>
      <c r="C54" s="10">
        <v>-17807.310000000001</v>
      </c>
      <c r="D54" s="10">
        <v>278216.44</v>
      </c>
    </row>
    <row r="55" spans="1:4" x14ac:dyDescent="0.25">
      <c r="A55" s="2" t="str">
        <f>"1.1.2.10.00- IMPOSTOS E CONTRIB.A RECUPERAR"</f>
        <v>1.1.2.10.00- IMPOSTOS E CONTRIB.A RECUPERAR</v>
      </c>
      <c r="B55" s="10">
        <v>1826483.83</v>
      </c>
      <c r="C55" s="10">
        <v>93.62</v>
      </c>
      <c r="D55" s="10">
        <v>1826577.45</v>
      </c>
    </row>
    <row r="56" spans="1:4" x14ac:dyDescent="0.25">
      <c r="A56" s="2" t="str">
        <f>"1.1.2.10.01- IR s/Aplicacao Financeira"</f>
        <v>1.1.2.10.01- IR s/Aplicacao Financeira</v>
      </c>
      <c r="B56" s="10">
        <v>394988.66</v>
      </c>
      <c r="C56" s="10">
        <v>0.83</v>
      </c>
      <c r="D56" s="10">
        <v>394989.49</v>
      </c>
    </row>
    <row r="57" spans="1:4" x14ac:dyDescent="0.25">
      <c r="A57" s="2" t="str">
        <f>"1.1.2.10.08- IRRF a Compensar"</f>
        <v>1.1.2.10.08- IRRF a Compensar</v>
      </c>
      <c r="B57" s="10">
        <v>1454.99</v>
      </c>
      <c r="C57" s="10">
        <v>0</v>
      </c>
      <c r="D57" s="10">
        <v>1454.99</v>
      </c>
    </row>
    <row r="58" spans="1:4" x14ac:dyDescent="0.25">
      <c r="A58" s="2" t="str">
        <f>"1.1.2.10.10- INSS a Recuperar"</f>
        <v>1.1.2.10.10- INSS a Recuperar</v>
      </c>
      <c r="B58" s="10">
        <v>51768.62</v>
      </c>
      <c r="C58" s="10">
        <v>0</v>
      </c>
      <c r="D58" s="10">
        <v>51768.62</v>
      </c>
    </row>
    <row r="59" spans="1:4" x14ac:dyDescent="0.25">
      <c r="A59" s="2" t="str">
        <f>"1.1.2.10.15- Cofins a Compensar"</f>
        <v>1.1.2.10.15- Cofins a Compensar</v>
      </c>
      <c r="B59" s="10">
        <v>1039250.99</v>
      </c>
      <c r="C59" s="10">
        <v>0.01</v>
      </c>
      <c r="D59" s="10">
        <v>1039251</v>
      </c>
    </row>
    <row r="60" spans="1:4" x14ac:dyDescent="0.25">
      <c r="A60" s="2" t="str">
        <f>"1.1.2.10.16- PIS a Compensar"</f>
        <v>1.1.2.10.16- PIS a Compensar</v>
      </c>
      <c r="B60" s="10">
        <v>224393.88</v>
      </c>
      <c r="C60" s="10">
        <v>0.01</v>
      </c>
      <c r="D60" s="10">
        <v>224393.89</v>
      </c>
    </row>
    <row r="61" spans="1:4" x14ac:dyDescent="0.25">
      <c r="A61" s="2" t="str">
        <f>"1.1.2.10.20- V.M.A PIS a Recuperar"</f>
        <v>1.1.2.10.20- V.M.A PIS a Recuperar</v>
      </c>
      <c r="B61" s="10">
        <v>886.12</v>
      </c>
      <c r="C61" s="10">
        <v>50.78</v>
      </c>
      <c r="D61" s="10">
        <v>936.9</v>
      </c>
    </row>
    <row r="62" spans="1:4" x14ac:dyDescent="0.25">
      <c r="A62" s="2" t="str">
        <f>"1.1.2.10.21- V.M.A IRRF a Compensar"</f>
        <v>1.1.2.10.21- V.M.A IRRF a Compensar</v>
      </c>
      <c r="B62" s="10">
        <v>356.77</v>
      </c>
      <c r="C62" s="10">
        <v>12.68</v>
      </c>
      <c r="D62" s="10">
        <v>369.45</v>
      </c>
    </row>
    <row r="63" spans="1:4" x14ac:dyDescent="0.25">
      <c r="A63" s="2" t="str">
        <f>"1.1.2.10.22- V.M.A COFINS a Compensar"</f>
        <v>1.1.2.10.22- V.M.A COFINS a Compensar</v>
      </c>
      <c r="B63" s="10">
        <v>5120.03</v>
      </c>
      <c r="C63" s="10">
        <v>29.31</v>
      </c>
      <c r="D63" s="10">
        <v>5149.34</v>
      </c>
    </row>
    <row r="64" spans="1:4" x14ac:dyDescent="0.25">
      <c r="A64" s="2" t="str">
        <f>"1.1.2.10.25- INSS a recuperar segurados"</f>
        <v>1.1.2.10.25- INSS a recuperar segurados</v>
      </c>
      <c r="B64" s="10">
        <v>108263.77</v>
      </c>
      <c r="C64" s="10">
        <v>0</v>
      </c>
      <c r="D64" s="10">
        <v>108263.77</v>
      </c>
    </row>
    <row r="65" spans="1:4" x14ac:dyDescent="0.25">
      <c r="A65" s="2" t="str">
        <f>"1.1.2.11.00- DESPESAS ANTECIPADAS"</f>
        <v>1.1.2.11.00- DESPESAS ANTECIPADAS</v>
      </c>
      <c r="B65" s="10">
        <v>5434.89</v>
      </c>
      <c r="C65" s="10">
        <v>-801.79</v>
      </c>
      <c r="D65" s="10">
        <v>4633.1000000000004</v>
      </c>
    </row>
    <row r="66" spans="1:4" x14ac:dyDescent="0.25">
      <c r="A66" s="2" t="str">
        <f>"1.1.2.11.01- Premios de Seguros a Vencer"</f>
        <v>1.1.2.11.01- Premios de Seguros a Vencer</v>
      </c>
      <c r="B66" s="10">
        <v>5434.89</v>
      </c>
      <c r="C66" s="10">
        <v>-801.79</v>
      </c>
      <c r="D66" s="10">
        <v>4633.1000000000004</v>
      </c>
    </row>
    <row r="67" spans="1:4" x14ac:dyDescent="0.25">
      <c r="A67" s="2" t="str">
        <f>"1.1.2.12.00- VALORES VINC.A RECEBER-PAMEH"</f>
        <v>1.1.2.12.00- VALORES VINC.A RECEBER-PAMEH</v>
      </c>
      <c r="B67" s="10">
        <v>1017992.32</v>
      </c>
      <c r="C67" s="10">
        <v>-380798.35</v>
      </c>
      <c r="D67" s="10">
        <v>637193.97</v>
      </c>
    </row>
    <row r="68" spans="1:4" x14ac:dyDescent="0.25">
      <c r="A68" s="2" t="str">
        <f>"1.1.2.12.01- Valores Vinculados-PAMEH"</f>
        <v>1.1.2.12.01- Valores Vinculados-PAMEH</v>
      </c>
      <c r="B68" s="10">
        <v>1017992.32</v>
      </c>
      <c r="C68" s="10">
        <v>-380798.35</v>
      </c>
      <c r="D68" s="10">
        <v>637193.97</v>
      </c>
    </row>
    <row r="69" spans="1:4" x14ac:dyDescent="0.25">
      <c r="A69" s="2" t="str">
        <f>"1.1.2.14.00- CONTAS TRANSITORIAS - GRUPO ATIVO"</f>
        <v>1.1.2.14.00- CONTAS TRANSITORIAS - GRUPO ATIVO</v>
      </c>
      <c r="B69" s="10">
        <v>672660.95</v>
      </c>
      <c r="C69" s="10">
        <v>-37819.39</v>
      </c>
      <c r="D69" s="10">
        <v>634841.56000000006</v>
      </c>
    </row>
    <row r="70" spans="1:4" x14ac:dyDescent="0.25">
      <c r="A70" s="2" t="str">
        <f>"1.1.2.14.05- Transitoria Folha de Pagamento"</f>
        <v>1.1.2.14.05- Transitoria Folha de Pagamento</v>
      </c>
      <c r="B70" s="10">
        <v>672660.95</v>
      </c>
      <c r="C70" s="10">
        <v>-37819.39</v>
      </c>
      <c r="D70" s="10">
        <v>634841.56000000006</v>
      </c>
    </row>
    <row r="71" spans="1:4" x14ac:dyDescent="0.25">
      <c r="A71" s="2" t="str">
        <f>"1.1.2.15.00- CARNE ESTACIONAMENTO ROTATIVO"</f>
        <v>1.1.2.15.00- CARNE ESTACIONAMENTO ROTATIVO</v>
      </c>
      <c r="B71" s="10">
        <v>44593.84</v>
      </c>
      <c r="C71" s="10">
        <v>-21234.79</v>
      </c>
      <c r="D71" s="10">
        <v>23359.05</v>
      </c>
    </row>
    <row r="72" spans="1:4" x14ac:dyDescent="0.25">
      <c r="A72" s="2" t="str">
        <f>"1.1.2.15.01- Carne Rotativo"</f>
        <v>1.1.2.15.01- Carne Rotativo</v>
      </c>
      <c r="B72" s="10">
        <v>44593.84</v>
      </c>
      <c r="C72" s="10">
        <v>-21234.79</v>
      </c>
      <c r="D72" s="10">
        <v>23359.05</v>
      </c>
    </row>
    <row r="73" spans="1:4" x14ac:dyDescent="0.25">
      <c r="A73" s="2" t="str">
        <f>"1.2.0.00.00- ATIVO NAO CIRCULANTE"</f>
        <v>1.2.0.00.00- ATIVO NAO CIRCULANTE</v>
      </c>
      <c r="B73" s="10">
        <v>9678888.4000000004</v>
      </c>
      <c r="C73" s="10">
        <v>71248.03</v>
      </c>
      <c r="D73" s="10">
        <v>9750136.4299999997</v>
      </c>
    </row>
    <row r="74" spans="1:4" x14ac:dyDescent="0.25">
      <c r="A74" s="2" t="str">
        <f>"1.2.1.00.00- REALIZAVEL A LONGO PRAZO"</f>
        <v>1.2.1.00.00- REALIZAVEL A LONGO PRAZO</v>
      </c>
      <c r="B74" s="10">
        <v>7397050.3600000003</v>
      </c>
      <c r="C74" s="10">
        <v>94828.53</v>
      </c>
      <c r="D74" s="10">
        <v>7491878.8899999997</v>
      </c>
    </row>
    <row r="75" spans="1:4" x14ac:dyDescent="0.25">
      <c r="A75" s="2" t="str">
        <f>"1.2.1.01.00- CREDITOS E VALORES A RECEBER"</f>
        <v>1.2.1.01.00- CREDITOS E VALORES A RECEBER</v>
      </c>
      <c r="B75" s="10">
        <v>7397050.3600000003</v>
      </c>
      <c r="C75" s="10">
        <v>94828.53</v>
      </c>
      <c r="D75" s="10">
        <v>7491878.8899999997</v>
      </c>
    </row>
    <row r="76" spans="1:4" x14ac:dyDescent="0.25">
      <c r="A76" s="2" t="str">
        <f>"1.2.1.01.01- Depositos Judiciais"</f>
        <v>1.2.1.01.01- Depositos Judiciais</v>
      </c>
      <c r="B76" s="10">
        <v>1575344.74</v>
      </c>
      <c r="C76" s="10">
        <v>94828.53</v>
      </c>
      <c r="D76" s="10">
        <v>1670173.27</v>
      </c>
    </row>
    <row r="77" spans="1:4" x14ac:dyDescent="0.25">
      <c r="A77" s="2" t="str">
        <f>"1.2.1.01.03- Depositos Judiciais de Terceiros"</f>
        <v>1.2.1.01.03- Depositos Judiciais de Terceiros</v>
      </c>
      <c r="B77" s="10">
        <v>344210.77</v>
      </c>
      <c r="C77" s="10">
        <v>0</v>
      </c>
      <c r="D77" s="10">
        <v>344210.77</v>
      </c>
    </row>
    <row r="78" spans="1:4" x14ac:dyDescent="0.25">
      <c r="A78" s="2" t="str">
        <f>"1.2.1.01.04- Convenio Prefeitura Betim"</f>
        <v>1.2.1.01.04- Convenio Prefeitura Betim</v>
      </c>
      <c r="B78" s="10">
        <v>21463.9</v>
      </c>
      <c r="C78" s="10">
        <v>0</v>
      </c>
      <c r="D78" s="10">
        <v>21463.9</v>
      </c>
    </row>
    <row r="79" spans="1:4" x14ac:dyDescent="0.25">
      <c r="A79" s="2" t="str">
        <f>"1.2.1.01.05- Convenio IPSEMG"</f>
        <v>1.2.1.01.05- Convenio IPSEMG</v>
      </c>
      <c r="B79" s="10">
        <v>21163.53</v>
      </c>
      <c r="C79" s="10">
        <v>0</v>
      </c>
      <c r="D79" s="10">
        <v>21163.53</v>
      </c>
    </row>
    <row r="80" spans="1:4" x14ac:dyDescent="0.25">
      <c r="A80" s="2" t="str">
        <f>"1.2.1.01.06- Multas Transporte Coletivo"</f>
        <v>1.2.1.01.06- Multas Transporte Coletivo</v>
      </c>
      <c r="B80" s="10">
        <v>5434867.4199999999</v>
      </c>
      <c r="C80" s="10">
        <v>0</v>
      </c>
      <c r="D80" s="10">
        <v>5434867.4199999999</v>
      </c>
    </row>
    <row r="81" spans="1:4" x14ac:dyDescent="0.25">
      <c r="A81" s="2" t="str">
        <f>"1.3.1.00.00- INVESTIMENTOS"</f>
        <v>1.3.1.00.00- INVESTIMENTOS</v>
      </c>
      <c r="B81" s="10">
        <v>26070</v>
      </c>
      <c r="C81" s="10">
        <v>0</v>
      </c>
      <c r="D81" s="10">
        <v>26070</v>
      </c>
    </row>
    <row r="82" spans="1:4" x14ac:dyDescent="0.25">
      <c r="A82" s="2" t="str">
        <f>"1.3.1.01.00- OUTROS INVESTIMENTOS"</f>
        <v>1.3.1.01.00- OUTROS INVESTIMENTOS</v>
      </c>
      <c r="B82" s="10">
        <v>26070</v>
      </c>
      <c r="C82" s="10">
        <v>0</v>
      </c>
      <c r="D82" s="10">
        <v>26070</v>
      </c>
    </row>
    <row r="83" spans="1:4" x14ac:dyDescent="0.25">
      <c r="A83" s="2" t="str">
        <f>"1.3.1.01.01- Obras de Arte"</f>
        <v>1.3.1.01.01- Obras de Arte</v>
      </c>
      <c r="B83" s="10">
        <v>25200</v>
      </c>
      <c r="C83" s="10">
        <v>0</v>
      </c>
      <c r="D83" s="10">
        <v>25200</v>
      </c>
    </row>
    <row r="84" spans="1:4" x14ac:dyDescent="0.25">
      <c r="A84" s="2" t="str">
        <f>"1.3.1.01.02- Participações Societárias - PBH ATIVOS"</f>
        <v>1.3.1.01.02- Participações Societárias - PBH ATIVOS</v>
      </c>
      <c r="B84" s="10">
        <v>870</v>
      </c>
      <c r="C84" s="10">
        <v>0</v>
      </c>
      <c r="D84" s="10">
        <v>870</v>
      </c>
    </row>
    <row r="85" spans="1:4" x14ac:dyDescent="0.25">
      <c r="A85" s="2" t="str">
        <f>"1.3.2.00.00- IMOBILIZADO"</f>
        <v>1.3.2.00.00- IMOBILIZADO</v>
      </c>
      <c r="B85" s="10">
        <v>6870892.1200000001</v>
      </c>
      <c r="C85" s="10">
        <v>0</v>
      </c>
      <c r="D85" s="10">
        <v>6870892.1200000001</v>
      </c>
    </row>
    <row r="86" spans="1:4" x14ac:dyDescent="0.25">
      <c r="A86" s="2" t="str">
        <f>"1.3.2.01.01- Maquinas e equipamentos"</f>
        <v>1.3.2.01.01- Maquinas e equipamentos</v>
      </c>
      <c r="B86" s="10">
        <v>240062.7</v>
      </c>
      <c r="C86" s="10">
        <v>0</v>
      </c>
      <c r="D86" s="10">
        <v>240062.7</v>
      </c>
    </row>
    <row r="87" spans="1:4" x14ac:dyDescent="0.25">
      <c r="A87" s="2" t="str">
        <f>"1.3.2.02.01- Ferramentas"</f>
        <v>1.3.2.02.01- Ferramentas</v>
      </c>
      <c r="B87" s="10">
        <v>9104.81</v>
      </c>
      <c r="C87" s="10">
        <v>0</v>
      </c>
      <c r="D87" s="10">
        <v>9104.81</v>
      </c>
    </row>
    <row r="88" spans="1:4" x14ac:dyDescent="0.25">
      <c r="A88" s="2" t="str">
        <f>"1.3.2.03.01- Equipamentos de comunicacao"</f>
        <v>1.3.2.03.01- Equipamentos de comunicacao</v>
      </c>
      <c r="B88" s="10">
        <v>191924.73</v>
      </c>
      <c r="C88" s="10">
        <v>0</v>
      </c>
      <c r="D88" s="10">
        <v>191924.73</v>
      </c>
    </row>
    <row r="89" spans="1:4" x14ac:dyDescent="0.25">
      <c r="A89" s="2" t="str">
        <f>"1.3.2.04.01- Instalacoes"</f>
        <v>1.3.2.04.01- Instalacoes</v>
      </c>
      <c r="B89" s="10">
        <v>85222.9</v>
      </c>
      <c r="C89" s="10">
        <v>0</v>
      </c>
      <c r="D89" s="10">
        <v>85222.9</v>
      </c>
    </row>
    <row r="90" spans="1:4" x14ac:dyDescent="0.25">
      <c r="A90" s="2" t="str">
        <f>"1.3.2.06.01- Moveis e utensilios"</f>
        <v>1.3.2.06.01- Moveis e utensilios</v>
      </c>
      <c r="B90" s="10">
        <v>539676.85</v>
      </c>
      <c r="C90" s="10">
        <v>0</v>
      </c>
      <c r="D90" s="10">
        <v>539676.85</v>
      </c>
    </row>
    <row r="91" spans="1:4" x14ac:dyDescent="0.25">
      <c r="A91" s="2" t="str">
        <f>"1.3.2.08.01- Instalacoes administrativas"</f>
        <v>1.3.2.08.01- Instalacoes administrativas</v>
      </c>
      <c r="B91" s="10">
        <v>99146.34</v>
      </c>
      <c r="C91" s="10">
        <v>0</v>
      </c>
      <c r="D91" s="10">
        <v>99146.34</v>
      </c>
    </row>
    <row r="92" spans="1:4" x14ac:dyDescent="0.25">
      <c r="A92" s="2" t="str">
        <f>"1.3.2.09.01- Aparelhos/equipamentos diversos"</f>
        <v>1.3.2.09.01- Aparelhos/equipamentos diversos</v>
      </c>
      <c r="B92" s="10">
        <v>603867.32999999996</v>
      </c>
      <c r="C92" s="10">
        <v>0</v>
      </c>
      <c r="D92" s="10">
        <v>603867.32999999996</v>
      </c>
    </row>
    <row r="93" spans="1:4" x14ac:dyDescent="0.25">
      <c r="A93" s="2" t="str">
        <f>"1.3.2.10.01- Equip. p/ processamento de dados"</f>
        <v>1.3.2.10.01- Equip. p/ processamento de dados</v>
      </c>
      <c r="B93" s="10">
        <v>696029.05</v>
      </c>
      <c r="C93" s="10">
        <v>0</v>
      </c>
      <c r="D93" s="10">
        <v>696029.05</v>
      </c>
    </row>
    <row r="94" spans="1:4" x14ac:dyDescent="0.25">
      <c r="A94" s="2" t="str">
        <f>"1.3.2.12.01- Micros/impressoras e acessorios"</f>
        <v>1.3.2.12.01- Micros/impressoras e acessorios</v>
      </c>
      <c r="B94" s="10">
        <v>2688473.03</v>
      </c>
      <c r="C94" s="10">
        <v>0</v>
      </c>
      <c r="D94" s="10">
        <v>2688473.03</v>
      </c>
    </row>
    <row r="95" spans="1:4" x14ac:dyDescent="0.25">
      <c r="A95" s="2" t="str">
        <f>"1.3.2.13.01- Imobilizacao em imoveis de terceiros"</f>
        <v>1.3.2.13.01- Imobilizacao em imoveis de terceiros</v>
      </c>
      <c r="B95" s="10">
        <v>1673924.44</v>
      </c>
      <c r="C95" s="10">
        <v>0</v>
      </c>
      <c r="D95" s="10">
        <v>1673924.44</v>
      </c>
    </row>
    <row r="96" spans="1:4" x14ac:dyDescent="0.25">
      <c r="A96" s="2" t="str">
        <f>"1.3.2.14.02- Estacao pampulha"</f>
        <v>1.3.2.14.02- Estacao pampulha</v>
      </c>
      <c r="B96" s="10">
        <v>43459.94</v>
      </c>
      <c r="C96" s="10">
        <v>0</v>
      </c>
      <c r="D96" s="10">
        <v>43459.94</v>
      </c>
    </row>
    <row r="97" spans="1:4" x14ac:dyDescent="0.25">
      <c r="A97" s="2" t="str">
        <f>"1.3.3.00.00- INTANGIVEL"</f>
        <v>1.3.3.00.00- INTANGIVEL</v>
      </c>
      <c r="B97" s="10">
        <v>891163.55</v>
      </c>
      <c r="C97" s="10">
        <v>0</v>
      </c>
      <c r="D97" s="10">
        <v>891163.55</v>
      </c>
    </row>
    <row r="98" spans="1:4" x14ac:dyDescent="0.25">
      <c r="A98" s="2" t="str">
        <f>"1.3.3.03.00- MARCAS E PATENTES"</f>
        <v>1.3.3.03.00- MARCAS E PATENTES</v>
      </c>
      <c r="B98" s="10">
        <v>808</v>
      </c>
      <c r="C98" s="10">
        <v>0</v>
      </c>
      <c r="D98" s="10">
        <v>808</v>
      </c>
    </row>
    <row r="99" spans="1:4" x14ac:dyDescent="0.25">
      <c r="A99" s="2" t="str">
        <f>"1.3.3.03.01- Marcas e Patentes"</f>
        <v>1.3.3.03.01- Marcas e Patentes</v>
      </c>
      <c r="B99" s="10">
        <v>808</v>
      </c>
      <c r="C99" s="10">
        <v>0</v>
      </c>
      <c r="D99" s="10">
        <v>808</v>
      </c>
    </row>
    <row r="100" spans="1:4" x14ac:dyDescent="0.25">
      <c r="A100" s="2" t="str">
        <f>"1.3.3.04.01- Programas e Sistemas"</f>
        <v>1.3.3.04.01- Programas e Sistemas</v>
      </c>
      <c r="B100" s="10">
        <v>890355.55</v>
      </c>
      <c r="C100" s="10">
        <v>0</v>
      </c>
      <c r="D100" s="10">
        <v>890355.55</v>
      </c>
    </row>
    <row r="101" spans="1:4" x14ac:dyDescent="0.25">
      <c r="A101" s="2" t="str">
        <f>"1.3.5.00.00- ( - )DEPRECIACAO E AMORTIZACAO"</f>
        <v>1.3.5.00.00- ( - )DEPRECIACAO E AMORTIZACAO</v>
      </c>
      <c r="B101" s="10">
        <v>-5506287.6299999999</v>
      </c>
      <c r="C101" s="10">
        <v>-23580.5</v>
      </c>
      <c r="D101" s="10">
        <v>-5529868.1299999999</v>
      </c>
    </row>
    <row r="102" spans="1:4" x14ac:dyDescent="0.25">
      <c r="A102" s="2" t="str">
        <f>"1.3.5.01.00- ( - ) DEPRECIACAO E AMORTIZACAO"</f>
        <v>1.3.5.01.00- ( - ) DEPRECIACAO E AMORTIZACAO</v>
      </c>
      <c r="B102" s="10">
        <v>-5506287.6299999999</v>
      </c>
      <c r="C102" s="10">
        <v>-23580.5</v>
      </c>
      <c r="D102" s="10">
        <v>-5529868.1299999999</v>
      </c>
    </row>
    <row r="103" spans="1:4" x14ac:dyDescent="0.25">
      <c r="A103" s="2" t="str">
        <f>"1.3.5.01.01- ( - ) Moveis e Utensilios"</f>
        <v>1.3.5.01.01- ( - ) Moveis e Utensilios</v>
      </c>
      <c r="B103" s="10">
        <v>-419800.27</v>
      </c>
      <c r="C103" s="10">
        <v>-2720.11</v>
      </c>
      <c r="D103" s="10">
        <v>-422520.38</v>
      </c>
    </row>
    <row r="104" spans="1:4" x14ac:dyDescent="0.25">
      <c r="A104" s="2" t="str">
        <f>"1.3.5.01.02- ( - ) Aparelhos/Equipamentos Diversos"</f>
        <v>1.3.5.01.02- ( - ) Aparelhos/Equipamentos Diversos</v>
      </c>
      <c r="B104" s="10">
        <v>-327512.89</v>
      </c>
      <c r="C104" s="10">
        <v>-4090.15</v>
      </c>
      <c r="D104" s="10">
        <v>-331603.03999999998</v>
      </c>
    </row>
    <row r="105" spans="1:4" x14ac:dyDescent="0.25">
      <c r="A105" s="2" t="str">
        <f>"1.3.5.01.03- ( - ) Instalacoes Administrativas"</f>
        <v>1.3.5.01.03- ( - ) Instalacoes Administrativas</v>
      </c>
      <c r="B105" s="10">
        <v>-98089.69</v>
      </c>
      <c r="C105" s="10">
        <v>-102.62</v>
      </c>
      <c r="D105" s="10">
        <v>-98192.31</v>
      </c>
    </row>
    <row r="106" spans="1:4" x14ac:dyDescent="0.25">
      <c r="A106" s="2" t="str">
        <f>"1.3.5.01.05- ( - ) Impressoras e Micros"</f>
        <v>1.3.5.01.05- ( - ) Impressoras e Micros</v>
      </c>
      <c r="B106" s="10">
        <v>-2571920.21</v>
      </c>
      <c r="C106" s="10">
        <v>-8437.9500000000007</v>
      </c>
      <c r="D106" s="10">
        <v>-2580358.16</v>
      </c>
    </row>
    <row r="107" spans="1:4" x14ac:dyDescent="0.25">
      <c r="A107" s="2" t="str">
        <f>"1.3.5.01.06- ( - ) Maquinas e Equipamentos"</f>
        <v>1.3.5.01.06- ( - ) Maquinas e Equipamentos</v>
      </c>
      <c r="B107" s="10">
        <v>-151675.22</v>
      </c>
      <c r="C107" s="10">
        <v>-1485.46</v>
      </c>
      <c r="D107" s="10">
        <v>-153160.68</v>
      </c>
    </row>
    <row r="108" spans="1:4" x14ac:dyDescent="0.25">
      <c r="A108" s="2" t="str">
        <f>"1.3.5.01.07- ( - ) Equipamentos de Comunicacao"</f>
        <v>1.3.5.01.07- ( - ) Equipamentos de Comunicacao</v>
      </c>
      <c r="B108" s="10">
        <v>-190948.57</v>
      </c>
      <c r="C108" s="10">
        <v>-78.02</v>
      </c>
      <c r="D108" s="10">
        <v>-191026.59</v>
      </c>
    </row>
    <row r="109" spans="1:4" x14ac:dyDescent="0.25">
      <c r="A109" s="2" t="str">
        <f>"1.3.5.01.08- ( - ) Instalacoes Operacionais"</f>
        <v>1.3.5.01.08- ( - ) Instalacoes Operacionais</v>
      </c>
      <c r="B109" s="10">
        <v>-63246.98</v>
      </c>
      <c r="C109" s="10">
        <v>-417.09</v>
      </c>
      <c r="D109" s="10">
        <v>-63664.07</v>
      </c>
    </row>
    <row r="110" spans="1:4" x14ac:dyDescent="0.25">
      <c r="A110" s="2" t="str">
        <f>"1.3.5.01.09- ( - ) Programas (Softwares)"</f>
        <v>1.3.5.01.09- ( - ) Programas (Softwares)</v>
      </c>
      <c r="B110" s="10">
        <v>-632685.39</v>
      </c>
      <c r="C110" s="10">
        <v>-612.5</v>
      </c>
      <c r="D110" s="10">
        <v>-633297.89</v>
      </c>
    </row>
    <row r="111" spans="1:4" x14ac:dyDescent="0.25">
      <c r="A111" s="2" t="str">
        <f>"1.3.5.01.14- ( - ) Ferramentas"</f>
        <v>1.3.5.01.14- ( - ) Ferramentas</v>
      </c>
      <c r="B111" s="10">
        <v>-6581.62</v>
      </c>
      <c r="C111" s="10">
        <v>-56.85</v>
      </c>
      <c r="D111" s="10">
        <v>-6638.47</v>
      </c>
    </row>
    <row r="112" spans="1:4" x14ac:dyDescent="0.25">
      <c r="A112" s="2" t="str">
        <f>"1.3.5.01.15- ( - ) Imobilizacoes em Imov. Terceiros"</f>
        <v>1.3.5.01.15- ( - ) Imobilizacoes em Imov. Terceiros</v>
      </c>
      <c r="B112" s="10">
        <v>-1043826.79</v>
      </c>
      <c r="C112" s="10">
        <v>-5579.75</v>
      </c>
      <c r="D112" s="10">
        <v>-1049406.54</v>
      </c>
    </row>
    <row r="113" spans="1:4" x14ac:dyDescent="0.25">
      <c r="A113" s="2" t="str">
        <f>""</f>
        <v/>
      </c>
      <c r="B113" s="3" t="str">
        <f>""</f>
        <v/>
      </c>
      <c r="C113" s="3" t="str">
        <f>""</f>
        <v/>
      </c>
      <c r="D113" s="3" t="str">
        <f>""</f>
        <v/>
      </c>
    </row>
    <row r="114" spans="1:4" x14ac:dyDescent="0.25">
      <c r="A114" s="2" t="str">
        <f>"PASSIVO"</f>
        <v>PASSIVO</v>
      </c>
      <c r="B114" s="3" t="str">
        <f>""</f>
        <v/>
      </c>
      <c r="C114" s="3" t="str">
        <f>""</f>
        <v/>
      </c>
      <c r="D114" s="3" t="str">
        <f>""</f>
        <v/>
      </c>
    </row>
    <row r="115" spans="1:4" x14ac:dyDescent="0.25">
      <c r="A115" s="2" t="str">
        <f>"2.0.0.00.00- PASSIVO"</f>
        <v>2.0.0.00.00- PASSIVO</v>
      </c>
      <c r="B115" s="10">
        <v>28553643.609999999</v>
      </c>
      <c r="C115" s="10">
        <v>1863438.13</v>
      </c>
      <c r="D115" s="10">
        <v>30417081.739999998</v>
      </c>
    </row>
    <row r="116" spans="1:4" x14ac:dyDescent="0.25">
      <c r="A116" s="2" t="str">
        <f>"2.1.0.00.00- PASSIVO CIRCULANTE"</f>
        <v>2.1.0.00.00- PASSIVO CIRCULANTE</v>
      </c>
      <c r="B116" s="10">
        <v>51688591.979999997</v>
      </c>
      <c r="C116" s="10">
        <v>1993474.69</v>
      </c>
      <c r="D116" s="10">
        <v>53682066.670000002</v>
      </c>
    </row>
    <row r="117" spans="1:4" x14ac:dyDescent="0.25">
      <c r="A117" s="2" t="str">
        <f>"2.1.1.00.00- OBRIGACOES COM PESSOAL"</f>
        <v>2.1.1.00.00- OBRIGACOES COM PESSOAL</v>
      </c>
      <c r="B117" s="10">
        <v>9008607.6899999995</v>
      </c>
      <c r="C117" s="10">
        <v>1139223.3799999999</v>
      </c>
      <c r="D117" s="10">
        <v>10147831.07</v>
      </c>
    </row>
    <row r="118" spans="1:4" x14ac:dyDescent="0.25">
      <c r="A118" s="2" t="str">
        <f>"2.1.1.01.00- SALARIOS A PAGAR"</f>
        <v>2.1.1.01.00- SALARIOS A PAGAR</v>
      </c>
      <c r="B118" s="10">
        <v>9008607.6899999995</v>
      </c>
      <c r="C118" s="10">
        <v>1139223.3799999999</v>
      </c>
      <c r="D118" s="10">
        <v>10147831.07</v>
      </c>
    </row>
    <row r="119" spans="1:4" x14ac:dyDescent="0.25">
      <c r="A119" s="2" t="str">
        <f>"2.1.1.01.01- Salarios a Pagar"</f>
        <v>2.1.1.01.01- Salarios a Pagar</v>
      </c>
      <c r="B119" s="10">
        <v>3069749.48</v>
      </c>
      <c r="C119" s="10">
        <v>303951.53000000003</v>
      </c>
      <c r="D119" s="10">
        <v>3373701.01</v>
      </c>
    </row>
    <row r="120" spans="1:4" x14ac:dyDescent="0.25">
      <c r="A120" s="2" t="str">
        <f>"2.1.1.01.02- Provisão 13º Salário"</f>
        <v>2.1.1.01.02- Provisão 13º Salário</v>
      </c>
      <c r="B120" s="10">
        <v>371835.38</v>
      </c>
      <c r="C120" s="10">
        <v>373098.76</v>
      </c>
      <c r="D120" s="10">
        <v>744934.14</v>
      </c>
    </row>
    <row r="121" spans="1:4" x14ac:dyDescent="0.25">
      <c r="A121" s="2" t="str">
        <f>"2.1.1.01.03- Ferias a pagar"</f>
        <v>2.1.1.01.03- Ferias a pagar</v>
      </c>
      <c r="B121" s="10">
        <v>96346.97</v>
      </c>
      <c r="C121" s="10">
        <v>402933.77</v>
      </c>
      <c r="D121" s="10">
        <v>499280.74</v>
      </c>
    </row>
    <row r="122" spans="1:4" x14ac:dyDescent="0.25">
      <c r="A122" s="2" t="str">
        <f>"2.1.1.01.05- Rescisoes a Pagar"</f>
        <v>2.1.1.01.05- Rescisoes a Pagar</v>
      </c>
      <c r="B122" s="10">
        <v>22208.01</v>
      </c>
      <c r="C122" s="10">
        <v>-1227.7</v>
      </c>
      <c r="D122" s="10">
        <v>20980.31</v>
      </c>
    </row>
    <row r="123" spans="1:4" x14ac:dyDescent="0.25">
      <c r="A123" s="2" t="str">
        <f>"2.1.1.01.09- Provisao de Ferias"</f>
        <v>2.1.1.01.09- Provisao de Ferias</v>
      </c>
      <c r="B123" s="10">
        <v>5448467.8499999996</v>
      </c>
      <c r="C123" s="10">
        <v>53131.73</v>
      </c>
      <c r="D123" s="10">
        <v>5501599.5800000001</v>
      </c>
    </row>
    <row r="124" spans="1:4" x14ac:dyDescent="0.25">
      <c r="A124" s="2" t="str">
        <f>"2.1.1.01.10- Diferencas Salariais"</f>
        <v>2.1.1.01.10- Diferencas Salariais</v>
      </c>
      <c r="B124" s="10">
        <v>0</v>
      </c>
      <c r="C124" s="10">
        <v>7335.29</v>
      </c>
      <c r="D124" s="10">
        <v>7335.29</v>
      </c>
    </row>
    <row r="125" spans="1:4" x14ac:dyDescent="0.25">
      <c r="A125" s="2" t="str">
        <f>"2.1.2.00.00- OBRIGACOES SOCIAIS A CURTO PRAZO"</f>
        <v>2.1.2.00.00- OBRIGACOES SOCIAIS A CURTO PRAZO</v>
      </c>
      <c r="B125" s="10">
        <v>5455240.3899999997</v>
      </c>
      <c r="C125" s="10">
        <v>-378747.84</v>
      </c>
      <c r="D125" s="10">
        <v>5076492.55</v>
      </c>
    </row>
    <row r="126" spans="1:4" x14ac:dyDescent="0.25">
      <c r="A126" s="2" t="str">
        <f>"2.1.2.01.00- OBRIGACOES SOCIAIS A RECOLHER"</f>
        <v>2.1.2.01.00- OBRIGACOES SOCIAIS A RECOLHER</v>
      </c>
      <c r="B126" s="10">
        <v>5455240.3899999997</v>
      </c>
      <c r="C126" s="10">
        <v>-378747.84</v>
      </c>
      <c r="D126" s="10">
        <v>5076492.55</v>
      </c>
    </row>
    <row r="127" spans="1:4" x14ac:dyDescent="0.25">
      <c r="A127" s="2" t="str">
        <f>"2.1.2.01.01- INSS a recolher s/Folha Pagto"</f>
        <v>2.1.2.01.01- INSS a recolher s/Folha Pagto</v>
      </c>
      <c r="B127" s="10">
        <v>1920680.61</v>
      </c>
      <c r="C127" s="10">
        <v>-93053.01</v>
      </c>
      <c r="D127" s="10">
        <v>1827627.6</v>
      </c>
    </row>
    <row r="128" spans="1:4" x14ac:dyDescent="0.25">
      <c r="A128" s="2" t="str">
        <f>"2.1.2.01.02- FGTS a recolher s/Folha Pagto"</f>
        <v>2.1.2.01.02- FGTS a recolher s/Folha Pagto</v>
      </c>
      <c r="B128" s="10">
        <v>456505.34</v>
      </c>
      <c r="C128" s="10">
        <v>-55711.25</v>
      </c>
      <c r="D128" s="10">
        <v>400794.09</v>
      </c>
    </row>
    <row r="129" spans="1:4" x14ac:dyDescent="0.25">
      <c r="A129" s="2" t="str">
        <f>"2.1.2.01.05- Contribuicao Sindical"</f>
        <v>2.1.2.01.05- Contribuicao Sindical</v>
      </c>
      <c r="B129" s="10">
        <v>5740.69</v>
      </c>
      <c r="C129" s="10">
        <v>-20.079999999999998</v>
      </c>
      <c r="D129" s="10">
        <v>5720.61</v>
      </c>
    </row>
    <row r="130" spans="1:4" x14ac:dyDescent="0.25">
      <c r="A130" s="2" t="str">
        <f>"2.1.2.01.06- INSS s/Provisao de Ferias"</f>
        <v>2.1.2.01.06- INSS s/Provisao de Ferias</v>
      </c>
      <c r="B130" s="10">
        <v>1575803.81</v>
      </c>
      <c r="C130" s="10">
        <v>21542.85</v>
      </c>
      <c r="D130" s="10">
        <v>1597346.66</v>
      </c>
    </row>
    <row r="131" spans="1:4" x14ac:dyDescent="0.25">
      <c r="A131" s="2" t="str">
        <f>"2.1.2.01.07- AEB - Assoc. Empreg. BHTRANS"</f>
        <v>2.1.2.01.07- AEB - Assoc. Empreg. BHTRANS</v>
      </c>
      <c r="B131" s="10">
        <v>5167.84</v>
      </c>
      <c r="C131" s="10">
        <v>-40.96</v>
      </c>
      <c r="D131" s="10">
        <v>5126.88</v>
      </c>
    </row>
    <row r="132" spans="1:4" x14ac:dyDescent="0.25">
      <c r="A132" s="2" t="str">
        <f>"2.1.2.01.09- INSS a Recolher s/Autonomos"</f>
        <v>2.1.2.01.09- INSS a Recolher s/Autonomos</v>
      </c>
      <c r="B132" s="10">
        <v>1142.4100000000001</v>
      </c>
      <c r="C132" s="10">
        <v>-1142.4100000000001</v>
      </c>
      <c r="D132" s="10">
        <v>0</v>
      </c>
    </row>
    <row r="133" spans="1:4" x14ac:dyDescent="0.25">
      <c r="A133" s="2" t="str">
        <f>"2.1.2.01.10- INSS s/Provisao de 13.Salario"</f>
        <v>2.1.2.01.10- INSS s/Provisao de 13.Salario</v>
      </c>
      <c r="B133" s="10">
        <v>107546.91</v>
      </c>
      <c r="C133" s="10">
        <v>106342.74</v>
      </c>
      <c r="D133" s="10">
        <v>213889.65</v>
      </c>
    </row>
    <row r="134" spans="1:4" x14ac:dyDescent="0.25">
      <c r="A134" s="2" t="str">
        <f>"2.1.2.01.11- FGTS s/Provisao de 13.Salario"</f>
        <v>2.1.2.01.11- FGTS s/Provisao de 13.Salario</v>
      </c>
      <c r="B134" s="10">
        <v>25290.16</v>
      </c>
      <c r="C134" s="10">
        <v>23145.31</v>
      </c>
      <c r="D134" s="10">
        <v>48435.47</v>
      </c>
    </row>
    <row r="135" spans="1:4" x14ac:dyDescent="0.25">
      <c r="A135" s="2" t="str">
        <f>"2.1.2.01.12- FGTS s/Provisao de Ferias"</f>
        <v>2.1.2.01.12- FGTS s/Provisao de Ferias</v>
      </c>
      <c r="B135" s="10">
        <v>435867.52</v>
      </c>
      <c r="C135" s="10">
        <v>4248.0200000000004</v>
      </c>
      <c r="D135" s="10">
        <v>440115.54</v>
      </c>
    </row>
    <row r="136" spans="1:4" x14ac:dyDescent="0.25">
      <c r="A136" s="2" t="str">
        <f>"2.1.2.01.13- Contribuicao ao PAMEH"</f>
        <v>2.1.2.01.13- Contribuicao ao PAMEH</v>
      </c>
      <c r="B136" s="10">
        <v>745609.42</v>
      </c>
      <c r="C136" s="10">
        <v>-380798.35</v>
      </c>
      <c r="D136" s="10">
        <v>364811.07</v>
      </c>
    </row>
    <row r="137" spans="1:4" x14ac:dyDescent="0.25">
      <c r="A137" s="2" t="str">
        <f>"2.1.2.01.15- Crediserv-BH"</f>
        <v>2.1.2.01.15- Crediserv-BH</v>
      </c>
      <c r="B137" s="10">
        <v>18245.12</v>
      </c>
      <c r="C137" s="10">
        <v>-538.11</v>
      </c>
      <c r="D137" s="10">
        <v>17707.009999999998</v>
      </c>
    </row>
    <row r="138" spans="1:4" x14ac:dyDescent="0.25">
      <c r="A138" s="2" t="str">
        <f>"2.1.2.01.16- INSS Fonte a Recolher - PJ"</f>
        <v>2.1.2.01.16- INSS Fonte a Recolher - PJ</v>
      </c>
      <c r="B138" s="10">
        <v>156469</v>
      </c>
      <c r="C138" s="10">
        <v>-2911.75</v>
      </c>
      <c r="D138" s="10">
        <v>153557.25</v>
      </c>
    </row>
    <row r="139" spans="1:4" x14ac:dyDescent="0.25">
      <c r="A139" s="2" t="str">
        <f>"2.1.2.01.18- INSS Fonte a Recolher - P F"</f>
        <v>2.1.2.01.18- INSS Fonte a Recolher - P F</v>
      </c>
      <c r="B139" s="10">
        <v>621.55999999999995</v>
      </c>
      <c r="C139" s="10">
        <v>189.16</v>
      </c>
      <c r="D139" s="10">
        <v>810.72</v>
      </c>
    </row>
    <row r="140" spans="1:4" x14ac:dyDescent="0.25">
      <c r="A140" s="2" t="str">
        <f>"2.1.2.01.19- ASFIM - PBH"</f>
        <v>2.1.2.01.19- ASFIM - PBH</v>
      </c>
      <c r="B140" s="10">
        <v>550</v>
      </c>
      <c r="C140" s="10">
        <v>0</v>
      </c>
      <c r="D140" s="10">
        <v>550</v>
      </c>
    </row>
    <row r="141" spans="1:4" x14ac:dyDescent="0.25">
      <c r="A141" s="2" t="str">
        <f>"2.1.3.00.00- OBRIGACOES FISCAIS A CURTO PRAZO"</f>
        <v>2.1.3.00.00- OBRIGACOES FISCAIS A CURTO PRAZO</v>
      </c>
      <c r="B141" s="10">
        <v>1445653.42</v>
      </c>
      <c r="C141" s="10">
        <v>-155242.14000000001</v>
      </c>
      <c r="D141" s="10">
        <v>1290411.28</v>
      </c>
    </row>
    <row r="142" spans="1:4" x14ac:dyDescent="0.25">
      <c r="A142" s="2" t="str">
        <f>"2.1.3.01.00- IMPOSTOS E TAXAS A RECOLHER"</f>
        <v>2.1.3.01.00- IMPOSTOS E TAXAS A RECOLHER</v>
      </c>
      <c r="B142" s="10">
        <v>1445653.42</v>
      </c>
      <c r="C142" s="10">
        <v>-155242.14000000001</v>
      </c>
      <c r="D142" s="10">
        <v>1290411.28</v>
      </c>
    </row>
    <row r="143" spans="1:4" x14ac:dyDescent="0.25">
      <c r="A143" s="2" t="str">
        <f>"2.1.3.01.01- IRRF Fonte Folha Pagto"</f>
        <v>2.1.3.01.01- IRRF Fonte Folha Pagto</v>
      </c>
      <c r="B143" s="10">
        <v>481181.07</v>
      </c>
      <c r="C143" s="10">
        <v>-118399.4</v>
      </c>
      <c r="D143" s="10">
        <v>362781.67</v>
      </c>
    </row>
    <row r="144" spans="1:4" x14ac:dyDescent="0.25">
      <c r="A144" s="2" t="str">
        <f>"2.1.3.01.03- IRRF Fonte - Pessoa  Juridica e Física"</f>
        <v>2.1.3.01.03- IRRF Fonte - Pessoa  Juridica e Física</v>
      </c>
      <c r="B144" s="10">
        <v>14341.62</v>
      </c>
      <c r="C144" s="10">
        <v>276.32</v>
      </c>
      <c r="D144" s="10">
        <v>14617.94</v>
      </c>
    </row>
    <row r="145" spans="1:4" x14ac:dyDescent="0.25">
      <c r="A145" s="2" t="str">
        <f>"2.1.3.01.05- ISS S/ Faturamento"</f>
        <v>2.1.3.01.05- ISS S/ Faturamento</v>
      </c>
      <c r="B145" s="10">
        <v>2233.96</v>
      </c>
      <c r="C145" s="10">
        <v>-360.79</v>
      </c>
      <c r="D145" s="10">
        <v>1873.17</v>
      </c>
    </row>
    <row r="146" spans="1:4" x14ac:dyDescent="0.25">
      <c r="A146" s="2" t="str">
        <f>"2.1.3.01.07- COFINS a Recolher"</f>
        <v>2.1.3.01.07- COFINS a Recolher</v>
      </c>
      <c r="B146" s="10">
        <v>711540.78</v>
      </c>
      <c r="C146" s="10">
        <v>-31894.240000000002</v>
      </c>
      <c r="D146" s="10">
        <v>679646.54</v>
      </c>
    </row>
    <row r="147" spans="1:4" x14ac:dyDescent="0.25">
      <c r="A147" s="2" t="str">
        <f>"2.1.3.01.08- PIS a Recolher"</f>
        <v>2.1.3.01.08- PIS a Recolher</v>
      </c>
      <c r="B147" s="10">
        <v>154390.57</v>
      </c>
      <c r="C147" s="10">
        <v>-6955.26</v>
      </c>
      <c r="D147" s="10">
        <v>147435.31</v>
      </c>
    </row>
    <row r="148" spans="1:4" x14ac:dyDescent="0.25">
      <c r="A148" s="2" t="str">
        <f>"2.1.3.01.09- ISS Fonte a Recolher P.Juridica"</f>
        <v>2.1.3.01.09- ISS Fonte a Recolher P.Juridica</v>
      </c>
      <c r="B148" s="10">
        <v>4455.26</v>
      </c>
      <c r="C148" s="10">
        <v>1340.18</v>
      </c>
      <c r="D148" s="10">
        <v>5795.44</v>
      </c>
    </row>
    <row r="149" spans="1:4" x14ac:dyDescent="0.25">
      <c r="A149" s="2" t="str">
        <f>"2.1.3.01.12- CSLL-COFINS-PIS - FONTE"</f>
        <v>2.1.3.01.12- CSLL-COFINS-PIS - FONTE</v>
      </c>
      <c r="B149" s="10">
        <v>77510.16</v>
      </c>
      <c r="C149" s="10">
        <v>751.05</v>
      </c>
      <c r="D149" s="10">
        <v>78261.210000000006</v>
      </c>
    </row>
    <row r="150" spans="1:4" x14ac:dyDescent="0.25">
      <c r="A150" s="2" t="str">
        <f>"2.1.4.00.00- OUTRAS OBRIGACOES A CURTO PRAZO"</f>
        <v>2.1.4.00.00- OUTRAS OBRIGACOES A CURTO PRAZO</v>
      </c>
      <c r="B150" s="10">
        <v>24717624.23</v>
      </c>
      <c r="C150" s="10">
        <v>1316293.6000000001</v>
      </c>
      <c r="D150" s="10">
        <v>26033917.829999998</v>
      </c>
    </row>
    <row r="151" spans="1:4" x14ac:dyDescent="0.25">
      <c r="A151" s="2" t="str">
        <f>"2.1.4.01.00- FORNECEDORES"</f>
        <v>2.1.4.01.00- FORNECEDORES</v>
      </c>
      <c r="B151" s="10">
        <v>2972606.54</v>
      </c>
      <c r="C151" s="10">
        <v>-442021.2</v>
      </c>
      <c r="D151" s="10">
        <v>2530585.34</v>
      </c>
    </row>
    <row r="152" spans="1:4" x14ac:dyDescent="0.25">
      <c r="A152" s="2" t="str">
        <f>"2.1.4.01.99- Fornecedores"</f>
        <v>2.1.4.01.99- Fornecedores</v>
      </c>
      <c r="B152" s="10">
        <v>2972606.54</v>
      </c>
      <c r="C152" s="10">
        <v>-442021.2</v>
      </c>
      <c r="D152" s="10">
        <v>2530585.34</v>
      </c>
    </row>
    <row r="153" spans="1:4" x14ac:dyDescent="0.25">
      <c r="A153" s="2" t="str">
        <f>"2.1.4.02.00- CONTAS A PAGAR"</f>
        <v>2.1.4.02.00- CONTAS A PAGAR</v>
      </c>
      <c r="B153" s="10">
        <v>372318.94</v>
      </c>
      <c r="C153" s="10">
        <v>-71167.149999999994</v>
      </c>
      <c r="D153" s="10">
        <v>301151.78999999998</v>
      </c>
    </row>
    <row r="154" spans="1:4" x14ac:dyDescent="0.25">
      <c r="A154" s="2" t="str">
        <f>"2.1.4.02.01- Emprestimo Consignado - Bradesco"</f>
        <v>2.1.4.02.01- Emprestimo Consignado - Bradesco</v>
      </c>
      <c r="B154" s="10">
        <v>14675.19</v>
      </c>
      <c r="C154" s="10">
        <v>11105.7</v>
      </c>
      <c r="D154" s="10">
        <v>25780.89</v>
      </c>
    </row>
    <row r="155" spans="1:4" x14ac:dyDescent="0.25">
      <c r="A155" s="2" t="str">
        <f>"2.1.4.02.03- Emprestimo Consignado - CEF"</f>
        <v>2.1.4.02.03- Emprestimo Consignado - CEF</v>
      </c>
      <c r="B155" s="10">
        <v>42741.94</v>
      </c>
      <c r="C155" s="10">
        <v>-146.88999999999999</v>
      </c>
      <c r="D155" s="10">
        <v>42595.05</v>
      </c>
    </row>
    <row r="156" spans="1:4" x14ac:dyDescent="0.25">
      <c r="A156" s="2" t="str">
        <f>"2.1.4.02.04- Emprestimo Consignado - B.Brasil"</f>
        <v>2.1.4.02.04- Emprestimo Consignado - B.Brasil</v>
      </c>
      <c r="B156" s="10">
        <v>93325.07</v>
      </c>
      <c r="C156" s="10">
        <v>-17165.310000000001</v>
      </c>
      <c r="D156" s="10">
        <v>76159.759999999995</v>
      </c>
    </row>
    <row r="157" spans="1:4" x14ac:dyDescent="0.25">
      <c r="A157" s="2" t="str">
        <f>"2.1.4.02.05- Emprestimo Consignado-Banco Alfa"</f>
        <v>2.1.4.02.05- Emprestimo Consignado-Banco Alfa</v>
      </c>
      <c r="B157" s="10">
        <v>84477.7</v>
      </c>
      <c r="C157" s="10">
        <v>-6695.57</v>
      </c>
      <c r="D157" s="10">
        <v>77782.13</v>
      </c>
    </row>
    <row r="158" spans="1:4" x14ac:dyDescent="0.25">
      <c r="A158" s="2" t="str">
        <f>"2.1.4.02.07- Emprestimo Consignado - B. Safra"</f>
        <v>2.1.4.02.07- Emprestimo Consignado - B. Safra</v>
      </c>
      <c r="B158" s="10">
        <v>24311.55</v>
      </c>
      <c r="C158" s="10">
        <v>-2447.91</v>
      </c>
      <c r="D158" s="10">
        <v>21863.64</v>
      </c>
    </row>
    <row r="159" spans="1:4" x14ac:dyDescent="0.25">
      <c r="A159" s="2" t="str">
        <f>"2.1.4.02.08- Emprestimo Consignado - BMG"</f>
        <v>2.1.4.02.08- Emprestimo Consignado - BMG</v>
      </c>
      <c r="B159" s="10">
        <v>1048.25</v>
      </c>
      <c r="C159" s="10">
        <v>0</v>
      </c>
      <c r="D159" s="10">
        <v>1048.25</v>
      </c>
    </row>
    <row r="160" spans="1:4" x14ac:dyDescent="0.25">
      <c r="A160" s="2" t="str">
        <f>"2.1.4.02.09- Emprestimo Consignado - BMC"</f>
        <v>2.1.4.02.09- Emprestimo Consignado - BMC</v>
      </c>
      <c r="B160" s="10">
        <v>692.55</v>
      </c>
      <c r="C160" s="10">
        <v>0</v>
      </c>
      <c r="D160" s="10">
        <v>692.55</v>
      </c>
    </row>
    <row r="161" spans="1:4" x14ac:dyDescent="0.25">
      <c r="A161" s="2" t="str">
        <f>"2.1.4.02.10- Cartão - BMG Card"</f>
        <v>2.1.4.02.10- Cartão - BMG Card</v>
      </c>
      <c r="B161" s="10">
        <v>8247.81</v>
      </c>
      <c r="C161" s="10">
        <v>-14.99</v>
      </c>
      <c r="D161" s="10">
        <v>8232.82</v>
      </c>
    </row>
    <row r="162" spans="1:4" x14ac:dyDescent="0.25">
      <c r="A162" s="2" t="str">
        <f>"2.1.4.02.11- Contrib.Entid.Classe"</f>
        <v>2.1.4.02.11- Contrib.Entid.Classe</v>
      </c>
      <c r="B162" s="10">
        <v>3907.67</v>
      </c>
      <c r="C162" s="10">
        <v>-3907.67</v>
      </c>
      <c r="D162" s="10">
        <v>0</v>
      </c>
    </row>
    <row r="163" spans="1:4" x14ac:dyDescent="0.25">
      <c r="A163" s="2" t="str">
        <f>"2.1.4.02.12- Custas judiciais"</f>
        <v>2.1.4.02.12- Custas judiciais</v>
      </c>
      <c r="B163" s="10">
        <v>3110.91</v>
      </c>
      <c r="C163" s="10">
        <v>-3110.91</v>
      </c>
      <c r="D163" s="10">
        <v>0</v>
      </c>
    </row>
    <row r="164" spans="1:4" x14ac:dyDescent="0.25">
      <c r="A164" s="2" t="str">
        <f>"2.1.4.02.99- Contas a Pagar"</f>
        <v>2.1.4.02.99- Contas a Pagar</v>
      </c>
      <c r="B164" s="10">
        <v>95780.3</v>
      </c>
      <c r="C164" s="10">
        <v>-48783.6</v>
      </c>
      <c r="D164" s="10">
        <v>46996.7</v>
      </c>
    </row>
    <row r="165" spans="1:4" x14ac:dyDescent="0.25">
      <c r="A165" s="2" t="str">
        <f>"2.1.4.03.00- CREDORES DIVERSOS"</f>
        <v>2.1.4.03.00- CREDORES DIVERSOS</v>
      </c>
      <c r="B165" s="10">
        <v>20831636.800000001</v>
      </c>
      <c r="C165" s="10">
        <v>1829481.95</v>
      </c>
      <c r="D165" s="10">
        <v>22661118.75</v>
      </c>
    </row>
    <row r="166" spans="1:4" x14ac:dyDescent="0.25">
      <c r="A166" s="2" t="str">
        <f>"2.1.4.03.07- Adiantamento Acionista - Municipio BH"</f>
        <v>2.1.4.03.07- Adiantamento Acionista - Municipio BH</v>
      </c>
      <c r="B166" s="10">
        <v>20049952.559999999</v>
      </c>
      <c r="C166" s="10">
        <v>1779409.34</v>
      </c>
      <c r="D166" s="10">
        <v>21829361.899999999</v>
      </c>
    </row>
    <row r="167" spans="1:4" x14ac:dyDescent="0.25">
      <c r="A167" s="2" t="str">
        <f>"2.1.4.03.17- Adiantamento de Clientes"</f>
        <v>2.1.4.03.17- Adiantamento de Clientes</v>
      </c>
      <c r="B167" s="10">
        <v>781684.24</v>
      </c>
      <c r="C167" s="10">
        <v>50072.61</v>
      </c>
      <c r="D167" s="10">
        <v>831756.85</v>
      </c>
    </row>
    <row r="168" spans="1:4" x14ac:dyDescent="0.25">
      <c r="A168" s="2" t="str">
        <f>"2.1.4.04.00- CAUCAO DE TERCEIROS/LEILAO"</f>
        <v>2.1.4.04.00- CAUCAO DE TERCEIROS/LEILAO</v>
      </c>
      <c r="B168" s="10">
        <v>541061.94999999995</v>
      </c>
      <c r="C168" s="10">
        <v>0</v>
      </c>
      <c r="D168" s="10">
        <v>541061.94999999995</v>
      </c>
    </row>
    <row r="169" spans="1:4" x14ac:dyDescent="0.25">
      <c r="A169" s="2" t="str">
        <f>"2.1.4.04.98- Leilões"</f>
        <v>2.1.4.04.98- Leilões</v>
      </c>
      <c r="B169" s="10">
        <v>357641.41</v>
      </c>
      <c r="C169" s="10">
        <v>0</v>
      </c>
      <c r="D169" s="10">
        <v>357641.41</v>
      </c>
    </row>
    <row r="170" spans="1:4" x14ac:dyDescent="0.25">
      <c r="A170" s="2" t="str">
        <f>"2.1.4.04.99- Caucao de Terceiros"</f>
        <v>2.1.4.04.99- Caucao de Terceiros</v>
      </c>
      <c r="B170" s="10">
        <v>183420.54</v>
      </c>
      <c r="C170" s="10">
        <v>0</v>
      </c>
      <c r="D170" s="10">
        <v>183420.54</v>
      </c>
    </row>
    <row r="171" spans="1:4" x14ac:dyDescent="0.25">
      <c r="A171" s="2" t="str">
        <f>"2.1.6.00.00- OBRIGACOES VINC. A PAGAR-PAMEH"</f>
        <v>2.1.6.00.00- OBRIGACOES VINC. A PAGAR-PAMEH</v>
      </c>
      <c r="B171" s="10">
        <v>25812.74</v>
      </c>
      <c r="C171" s="10">
        <v>71947.69</v>
      </c>
      <c r="D171" s="10">
        <v>97760.43</v>
      </c>
    </row>
    <row r="172" spans="1:4" x14ac:dyDescent="0.25">
      <c r="A172" s="2" t="str">
        <f>"2.1.6.01.00- OBRIGACOES VINC. -PAMEH"</f>
        <v>2.1.6.01.00- OBRIGACOES VINC. -PAMEH</v>
      </c>
      <c r="B172" s="10">
        <v>25812.74</v>
      </c>
      <c r="C172" s="10">
        <v>71947.69</v>
      </c>
      <c r="D172" s="10">
        <v>97760.43</v>
      </c>
    </row>
    <row r="173" spans="1:4" x14ac:dyDescent="0.25">
      <c r="A173" s="2" t="str">
        <f>"2.1.6.01.01- Obrigacoes Vinculadas - PAMEH"</f>
        <v>2.1.6.01.01- Obrigacoes Vinculadas - PAMEH</v>
      </c>
      <c r="B173" s="10">
        <v>25812.74</v>
      </c>
      <c r="C173" s="10">
        <v>71947.69</v>
      </c>
      <c r="D173" s="10">
        <v>97760.43</v>
      </c>
    </row>
    <row r="174" spans="1:4" x14ac:dyDescent="0.25">
      <c r="A174" s="2" t="str">
        <f>"2.1.8.00.00- CONTINGÊNCIAS TRABALHISTAS"</f>
        <v>2.1.8.00.00- CONTINGÊNCIAS TRABALHISTAS</v>
      </c>
      <c r="B174" s="10">
        <v>11035653.51</v>
      </c>
      <c r="C174" s="10">
        <v>0</v>
      </c>
      <c r="D174" s="10">
        <v>11035653.51</v>
      </c>
    </row>
    <row r="175" spans="1:4" x14ac:dyDescent="0.25">
      <c r="A175" s="2" t="str">
        <f>"2.1.8.01.00- CONTINGÊNCIAS TRABALHISTAS"</f>
        <v>2.1.8.01.00- CONTINGÊNCIAS TRABALHISTAS</v>
      </c>
      <c r="B175" s="10">
        <v>11035653.51</v>
      </c>
      <c r="C175" s="10">
        <v>0</v>
      </c>
      <c r="D175" s="10">
        <v>11035653.51</v>
      </c>
    </row>
    <row r="176" spans="1:4" x14ac:dyDescent="0.25">
      <c r="A176" s="2" t="str">
        <f>"2.1.8.01.01- Contingências Trabalhistas - ACT"</f>
        <v>2.1.8.01.01- Contingências Trabalhistas - ACT</v>
      </c>
      <c r="B176" s="10">
        <v>11035653.51</v>
      </c>
      <c r="C176" s="10">
        <v>0</v>
      </c>
      <c r="D176" s="10">
        <v>11035653.51</v>
      </c>
    </row>
    <row r="177" spans="1:4" x14ac:dyDescent="0.25">
      <c r="A177" s="2" t="str">
        <f>"2.2.0.00.00- PASSIVO NAO CIRCULANTE"</f>
        <v>2.2.0.00.00- PASSIVO NAO CIRCULANTE</v>
      </c>
      <c r="B177" s="10">
        <v>40776704.869999997</v>
      </c>
      <c r="C177" s="10">
        <v>-130036.56</v>
      </c>
      <c r="D177" s="10">
        <v>40646668.310000002</v>
      </c>
    </row>
    <row r="178" spans="1:4" x14ac:dyDescent="0.25">
      <c r="A178" s="2" t="str">
        <f>"2.2.4.00.00- OUTRAS OBRIGACOES A LONGO PRAZO"</f>
        <v>2.2.4.00.00- OUTRAS OBRIGACOES A LONGO PRAZO</v>
      </c>
      <c r="B178" s="10">
        <v>35783787.479999997</v>
      </c>
      <c r="C178" s="10">
        <v>0</v>
      </c>
      <c r="D178" s="10">
        <v>35783787.479999997</v>
      </c>
    </row>
    <row r="179" spans="1:4" x14ac:dyDescent="0.25">
      <c r="A179" s="2" t="str">
        <f>"2.2.4.01.00- CREDORES DIVERSOS"</f>
        <v>2.2.4.01.00- CREDORES DIVERSOS</v>
      </c>
      <c r="B179" s="10">
        <v>15048557.66</v>
      </c>
      <c r="C179" s="10">
        <v>0</v>
      </c>
      <c r="D179" s="10">
        <v>15048557.66</v>
      </c>
    </row>
    <row r="180" spans="1:4" x14ac:dyDescent="0.25">
      <c r="A180" s="2" t="str">
        <f>"2.2.4.01.04- Provisão para Contingências Fiscais"</f>
        <v>2.2.4.01.04- Provisão para Contingências Fiscais</v>
      </c>
      <c r="B180" s="10">
        <v>14106702.720000001</v>
      </c>
      <c r="C180" s="10">
        <v>0</v>
      </c>
      <c r="D180" s="10">
        <v>14106702.720000001</v>
      </c>
    </row>
    <row r="181" spans="1:4" x14ac:dyDescent="0.25">
      <c r="A181" s="2" t="str">
        <f>"2.2.4.01.05- INSS Segurados"</f>
        <v>2.2.4.01.05- INSS Segurados</v>
      </c>
      <c r="B181" s="10">
        <v>941854.94</v>
      </c>
      <c r="C181" s="10">
        <v>0</v>
      </c>
      <c r="D181" s="10">
        <v>941854.94</v>
      </c>
    </row>
    <row r="182" spans="1:4" x14ac:dyDescent="0.25">
      <c r="A182" s="2" t="str">
        <f>"2.2.4.04.00- ACOES JUDICIAIS E TRABALHISTAS"</f>
        <v>2.2.4.04.00- ACOES JUDICIAIS E TRABALHISTAS</v>
      </c>
      <c r="B182" s="10">
        <v>20735229.82</v>
      </c>
      <c r="C182" s="10">
        <v>0</v>
      </c>
      <c r="D182" s="10">
        <v>20735229.82</v>
      </c>
    </row>
    <row r="183" spans="1:4" x14ac:dyDescent="0.25">
      <c r="A183" s="2" t="str">
        <f>"2.2.4.04.01- Acoes judiciais"</f>
        <v>2.2.4.04.01- Acoes judiciais</v>
      </c>
      <c r="B183" s="10">
        <v>16358367.48</v>
      </c>
      <c r="C183" s="10">
        <v>0</v>
      </c>
      <c r="D183" s="10">
        <v>16358367.48</v>
      </c>
    </row>
    <row r="184" spans="1:4" x14ac:dyDescent="0.25">
      <c r="A184" s="2" t="str">
        <f>"2.2.4.04.02- Acoes trabalhistas"</f>
        <v>2.2.4.04.02- Acoes trabalhistas</v>
      </c>
      <c r="B184" s="10">
        <v>4376862.34</v>
      </c>
      <c r="C184" s="10">
        <v>0</v>
      </c>
      <c r="D184" s="10">
        <v>4376862.34</v>
      </c>
    </row>
    <row r="185" spans="1:4" x14ac:dyDescent="0.25">
      <c r="A185" s="2" t="str">
        <f>"2.2.5.00.00- OBRIGACOES VINC.  AO PAMEH"</f>
        <v>2.2.5.00.00- OBRIGACOES VINC.  AO PAMEH</v>
      </c>
      <c r="B185" s="10">
        <v>4992917.3899999997</v>
      </c>
      <c r="C185" s="10">
        <v>-130036.56</v>
      </c>
      <c r="D185" s="10">
        <v>4862880.83</v>
      </c>
    </row>
    <row r="186" spans="1:4" x14ac:dyDescent="0.25">
      <c r="A186" s="2" t="str">
        <f>"2.2.5.01.00- OBRIGACOES VINC.  AO PAMEH"</f>
        <v>2.2.5.01.00- OBRIGACOES VINC.  AO PAMEH</v>
      </c>
      <c r="B186" s="10">
        <v>4992917.3899999997</v>
      </c>
      <c r="C186" s="10">
        <v>-130036.56</v>
      </c>
      <c r="D186" s="10">
        <v>4862880.83</v>
      </c>
    </row>
    <row r="187" spans="1:4" x14ac:dyDescent="0.25">
      <c r="A187" s="2" t="str">
        <f>"2.2.5.01.01- Resultado Exerc.Anteriores-PAMEH"</f>
        <v>2.2.5.01.01- Resultado Exerc.Anteriores-PAMEH</v>
      </c>
      <c r="B187" s="10">
        <v>3457128.18</v>
      </c>
      <c r="C187" s="10">
        <v>0</v>
      </c>
      <c r="D187" s="10">
        <v>3457128.18</v>
      </c>
    </row>
    <row r="188" spans="1:4" x14ac:dyDescent="0.25">
      <c r="A188" s="2" t="str">
        <f>"2.2.5.01.02- Resultado deste Exercicio-PAMEH"</f>
        <v>2.2.5.01.02- Resultado deste Exercicio-PAMEH</v>
      </c>
      <c r="B188" s="10">
        <v>-54152.56</v>
      </c>
      <c r="C188" s="10">
        <v>-130036.56</v>
      </c>
      <c r="D188" s="10">
        <v>-184189.12</v>
      </c>
    </row>
    <row r="189" spans="1:4" x14ac:dyDescent="0.25">
      <c r="A189" s="2" t="str">
        <f>"2.2.5.01.03- Ajuste Exercício Anterior - PAMEH"</f>
        <v>2.2.5.01.03- Ajuste Exercício Anterior - PAMEH</v>
      </c>
      <c r="B189" s="10">
        <v>1589941.77</v>
      </c>
      <c r="C189" s="10">
        <v>0</v>
      </c>
      <c r="D189" s="10">
        <v>1589941.77</v>
      </c>
    </row>
    <row r="190" spans="1:4" x14ac:dyDescent="0.25">
      <c r="A190" s="2" t="str">
        <f>"2.4.0.00.00- PATRIMONIO LIQUIDO"</f>
        <v>2.4.0.00.00- PATRIMONIO LIQUIDO</v>
      </c>
      <c r="B190" s="10">
        <v>-63911653.240000002</v>
      </c>
      <c r="C190" s="10">
        <v>0</v>
      </c>
      <c r="D190" s="10">
        <v>-63911653.240000002</v>
      </c>
    </row>
    <row r="191" spans="1:4" x14ac:dyDescent="0.25">
      <c r="A191" s="2" t="str">
        <f>"2.4.1.00.00- CAPITAL SOCIAL"</f>
        <v>2.4.1.00.00- CAPITAL SOCIAL</v>
      </c>
      <c r="B191" s="10">
        <v>67418193.159999996</v>
      </c>
      <c r="C191" s="10">
        <v>0</v>
      </c>
      <c r="D191" s="10">
        <v>67418193.159999996</v>
      </c>
    </row>
    <row r="192" spans="1:4" x14ac:dyDescent="0.25">
      <c r="A192" s="2" t="str">
        <f>"2.4.1.02.00- CAPITAL REALIZADO"</f>
        <v>2.4.1.02.00- CAPITAL REALIZADO</v>
      </c>
      <c r="B192" s="10">
        <v>67418193.159999996</v>
      </c>
      <c r="C192" s="10">
        <v>0</v>
      </c>
      <c r="D192" s="10">
        <v>67418193.159999996</v>
      </c>
    </row>
    <row r="193" spans="1:4" x14ac:dyDescent="0.25">
      <c r="A193" s="2" t="str">
        <f>"2.4.1.02.01- Capital Subscrito"</f>
        <v>2.4.1.02.01- Capital Subscrito</v>
      </c>
      <c r="B193" s="10">
        <v>75000000</v>
      </c>
      <c r="C193" s="10">
        <v>0</v>
      </c>
      <c r="D193" s="10">
        <v>75000000</v>
      </c>
    </row>
    <row r="194" spans="1:4" x14ac:dyDescent="0.25">
      <c r="A194" s="2" t="str">
        <f>"2.4.1.02.04- Capital a Realizar"</f>
        <v>2.4.1.02.04- Capital a Realizar</v>
      </c>
      <c r="B194" s="10">
        <v>-7581806.8399999999</v>
      </c>
      <c r="C194" s="10">
        <v>0</v>
      </c>
      <c r="D194" s="10">
        <v>-7581806.8399999999</v>
      </c>
    </row>
    <row r="195" spans="1:4" x14ac:dyDescent="0.25">
      <c r="A195" s="2" t="str">
        <f>"2.4.3.00.00- RESULTADOS ACUMULADOS"</f>
        <v>2.4.3.00.00- RESULTADOS ACUMULADOS</v>
      </c>
      <c r="B195" s="10">
        <v>-131329846.40000001</v>
      </c>
      <c r="C195" s="10">
        <v>0</v>
      </c>
      <c r="D195" s="10">
        <v>-131329846.40000001</v>
      </c>
    </row>
    <row r="196" spans="1:4" x14ac:dyDescent="0.25">
      <c r="A196" s="2" t="str">
        <f>"2.4.3.01.00- LUCROS/PREJUIZOS ACUMULADOS"</f>
        <v>2.4.3.01.00- LUCROS/PREJUIZOS ACUMULADOS</v>
      </c>
      <c r="B196" s="10">
        <v>-131329846.40000001</v>
      </c>
      <c r="C196" s="10">
        <v>0</v>
      </c>
      <c r="D196" s="10">
        <v>-131329846.40000001</v>
      </c>
    </row>
    <row r="197" spans="1:4" x14ac:dyDescent="0.25">
      <c r="A197" s="2" t="str">
        <f>"2.4.3.01.01- Resultados de Exerc. Anteriores"</f>
        <v>2.4.3.01.01- Resultados de Exerc. Anteriores</v>
      </c>
      <c r="B197" s="10">
        <v>-131329846.40000001</v>
      </c>
      <c r="C197" s="10">
        <v>0</v>
      </c>
      <c r="D197" s="10">
        <v>-131329846.40000001</v>
      </c>
    </row>
    <row r="198" spans="1:4" x14ac:dyDescent="0.25">
      <c r="A198" s="2" t="str">
        <f>""</f>
        <v/>
      </c>
      <c r="B198" s="3" t="str">
        <f>""</f>
        <v/>
      </c>
      <c r="C198" s="3" t="str">
        <f>""</f>
        <v/>
      </c>
      <c r="D198" s="3" t="str">
        <f>""</f>
        <v/>
      </c>
    </row>
    <row r="199" spans="1:4" x14ac:dyDescent="0.25">
      <c r="A199" s="2" t="str">
        <f>""</f>
        <v/>
      </c>
      <c r="B199" s="3" t="str">
        <f>""</f>
        <v/>
      </c>
      <c r="C199" s="3" t="str">
        <f>""</f>
        <v/>
      </c>
      <c r="D199" s="3" t="str">
        <f>""</f>
        <v/>
      </c>
    </row>
    <row r="200" spans="1:4" x14ac:dyDescent="0.25">
      <c r="A200" s="2" t="str">
        <f>""</f>
        <v/>
      </c>
      <c r="B200" s="3" t="str">
        <f>""</f>
        <v/>
      </c>
      <c r="C200" s="3" t="str">
        <f>""</f>
        <v/>
      </c>
      <c r="D200" s="3" t="str">
        <f>""</f>
        <v/>
      </c>
    </row>
    <row r="201" spans="1:4" x14ac:dyDescent="0.25">
      <c r="A201" s="2" t="str">
        <f>""</f>
        <v/>
      </c>
      <c r="B201" s="3" t="str">
        <f>""</f>
        <v/>
      </c>
      <c r="C201" s="3" t="str">
        <f>""</f>
        <v/>
      </c>
      <c r="D201" s="3" t="str">
        <f>""</f>
        <v/>
      </c>
    </row>
    <row r="202" spans="1:4" x14ac:dyDescent="0.25">
      <c r="A202" s="2" t="str">
        <f>""</f>
        <v/>
      </c>
      <c r="B202" s="3" t="str">
        <f>""</f>
        <v/>
      </c>
      <c r="C202" s="3" t="str">
        <f>""</f>
        <v/>
      </c>
      <c r="D202" s="3" t="str">
        <f>""</f>
        <v/>
      </c>
    </row>
    <row r="203" spans="1:4" x14ac:dyDescent="0.25">
      <c r="A203" s="2" t="str">
        <f>""</f>
        <v/>
      </c>
      <c r="B203" s="3" t="str">
        <f>""</f>
        <v/>
      </c>
      <c r="C203" s="3" t="str">
        <f>""</f>
        <v/>
      </c>
      <c r="D203" s="3" t="str">
        <f>""</f>
        <v/>
      </c>
    </row>
    <row r="204" spans="1:4" x14ac:dyDescent="0.25">
      <c r="A204" s="2" t="str">
        <f>""</f>
        <v/>
      </c>
      <c r="B204" s="3" t="str">
        <f>""</f>
        <v/>
      </c>
      <c r="C204" s="3" t="str">
        <f>""</f>
        <v/>
      </c>
      <c r="D204" s="3" t="str">
        <f>""</f>
        <v/>
      </c>
    </row>
    <row r="205" spans="1:4" x14ac:dyDescent="0.25">
      <c r="A205" s="2" t="str">
        <f>"DESPESAS"</f>
        <v>DESPESAS</v>
      </c>
      <c r="B205" s="3" t="str">
        <f>""</f>
        <v/>
      </c>
      <c r="C205" s="3" t="str">
        <f>""</f>
        <v/>
      </c>
      <c r="D205" s="3" t="str">
        <f>""</f>
        <v/>
      </c>
    </row>
    <row r="206" spans="1:4" x14ac:dyDescent="0.25">
      <c r="A206" s="2" t="str">
        <f>"3.0.0.00.00- DESPESAS"</f>
        <v>3.0.0.00.00- DESPESAS</v>
      </c>
      <c r="B206" s="10">
        <v>9882190.4199999999</v>
      </c>
      <c r="C206" s="10">
        <v>10505119.800000001</v>
      </c>
      <c r="D206" s="10">
        <v>20387310.219999999</v>
      </c>
    </row>
    <row r="207" spans="1:4" x14ac:dyDescent="0.25">
      <c r="A207" s="2" t="str">
        <f>"3.1.0.00.00- DESPESAS OPERACIONAIS"</f>
        <v>3.1.0.00.00- DESPESAS OPERACIONAIS</v>
      </c>
      <c r="B207" s="10">
        <v>9882190.4199999999</v>
      </c>
      <c r="C207" s="10">
        <v>10505119.800000001</v>
      </c>
      <c r="D207" s="10">
        <v>20387310.219999999</v>
      </c>
    </row>
    <row r="208" spans="1:4" x14ac:dyDescent="0.25">
      <c r="A208" s="2" t="str">
        <f>"3.1.1.00.00- SALARIOS ADICIONAIS E HONORARIOS"</f>
        <v>3.1.1.00.00- SALARIOS ADICIONAIS E HONORARIOS</v>
      </c>
      <c r="B208" s="10">
        <v>5064908.59</v>
      </c>
      <c r="C208" s="10">
        <v>5392123.1900000004</v>
      </c>
      <c r="D208" s="10">
        <v>10457031.779999999</v>
      </c>
    </row>
    <row r="209" spans="1:4" x14ac:dyDescent="0.25">
      <c r="A209" s="2" t="str">
        <f>"3.1.1.00.01- Honorarios diretoria"</f>
        <v>3.1.1.00.01- Honorarios diretoria</v>
      </c>
      <c r="B209" s="10">
        <v>64196.46</v>
      </c>
      <c r="C209" s="10">
        <v>69667.240000000005</v>
      </c>
      <c r="D209" s="10">
        <v>133863.70000000001</v>
      </c>
    </row>
    <row r="210" spans="1:4" x14ac:dyDescent="0.25">
      <c r="A210" s="2" t="str">
        <f>"3.1.1.00.02- Honorarios conselho fiscal"</f>
        <v>3.1.1.00.02- Honorarios conselho fiscal</v>
      </c>
      <c r="B210" s="10">
        <v>5320.32</v>
      </c>
      <c r="C210" s="10">
        <v>5311.5</v>
      </c>
      <c r="D210" s="10">
        <v>10631.82</v>
      </c>
    </row>
    <row r="211" spans="1:4" x14ac:dyDescent="0.25">
      <c r="A211" s="2" t="str">
        <f>"3.1.1.00.03- Honorarios cons. administracao"</f>
        <v>3.1.1.00.03- Honorarios cons. administracao</v>
      </c>
      <c r="B211" s="10">
        <v>10631.31</v>
      </c>
      <c r="C211" s="10">
        <v>10613.71</v>
      </c>
      <c r="D211" s="10">
        <v>21245.02</v>
      </c>
    </row>
    <row r="212" spans="1:4" x14ac:dyDescent="0.25">
      <c r="A212" s="2" t="str">
        <f>"3.1.1.00.04- Salarios e adicionais"</f>
        <v>3.1.1.00.04- Salarios e adicionais</v>
      </c>
      <c r="B212" s="10">
        <v>4001737.21</v>
      </c>
      <c r="C212" s="10">
        <v>4446089.7300000004</v>
      </c>
      <c r="D212" s="10">
        <v>8447826.9399999995</v>
      </c>
    </row>
    <row r="213" spans="1:4" x14ac:dyDescent="0.25">
      <c r="A213" s="2" t="str">
        <f>"3.1.1.00.05- Ferias e abono pecuniario"</f>
        <v>3.1.1.00.05- Ferias e abono pecuniario</v>
      </c>
      <c r="B213" s="10">
        <v>588069.56000000006</v>
      </c>
      <c r="C213" s="10">
        <v>478610.36</v>
      </c>
      <c r="D213" s="10">
        <v>1066679.92</v>
      </c>
    </row>
    <row r="214" spans="1:4" x14ac:dyDescent="0.25">
      <c r="A214" s="2" t="str">
        <f>"3.1.1.00.06- Decimo terceiro salario"</f>
        <v>3.1.1.00.06- Decimo terceiro salario</v>
      </c>
      <c r="B214" s="10">
        <v>371835.38</v>
      </c>
      <c r="C214" s="10">
        <v>364556.85</v>
      </c>
      <c r="D214" s="10">
        <v>736392.23</v>
      </c>
    </row>
    <row r="215" spans="1:4" x14ac:dyDescent="0.25">
      <c r="A215" s="2" t="str">
        <f>"3.1.1.00.07- Indenizacoes trabalhistas"</f>
        <v>3.1.1.00.07- Indenizacoes trabalhistas</v>
      </c>
      <c r="B215" s="10">
        <v>8684.49</v>
      </c>
      <c r="C215" s="10">
        <v>4193.8</v>
      </c>
      <c r="D215" s="10">
        <v>12878.29</v>
      </c>
    </row>
    <row r="216" spans="1:4" x14ac:dyDescent="0.25">
      <c r="A216" s="2" t="str">
        <f>"3.1.1.00.08- Bolsas de estagiario"</f>
        <v>3.1.1.00.08- Bolsas de estagiario</v>
      </c>
      <c r="B216" s="10">
        <v>14433.86</v>
      </c>
      <c r="C216" s="10">
        <v>13080</v>
      </c>
      <c r="D216" s="10">
        <v>27513.86</v>
      </c>
    </row>
    <row r="217" spans="1:4" x14ac:dyDescent="0.25">
      <c r="A217" s="2" t="str">
        <f>"3.1.2.01.00- ENCARGOS SOCIAIS"</f>
        <v>3.1.2.01.00- ENCARGOS SOCIAIS</v>
      </c>
      <c r="B217" s="10">
        <v>1685841.76</v>
      </c>
      <c r="C217" s="10">
        <v>1952274.55</v>
      </c>
      <c r="D217" s="10">
        <v>3638116.31</v>
      </c>
    </row>
    <row r="218" spans="1:4" x14ac:dyDescent="0.25">
      <c r="A218" s="2" t="str">
        <f>"3.1.2.01.01- INSS"</f>
        <v>3.1.2.01.01- INSS</v>
      </c>
      <c r="B218" s="10">
        <v>1283496.8600000001</v>
      </c>
      <c r="C218" s="10">
        <v>1524092.21</v>
      </c>
      <c r="D218" s="10">
        <v>2807589.07</v>
      </c>
    </row>
    <row r="219" spans="1:4" x14ac:dyDescent="0.25">
      <c r="A219" s="2" t="str">
        <f>"3.1.2.01.02- FGTS"</f>
        <v>3.1.2.01.02- FGTS</v>
      </c>
      <c r="B219" s="10">
        <v>402344.9</v>
      </c>
      <c r="C219" s="10">
        <v>428182.34</v>
      </c>
      <c r="D219" s="10">
        <v>830527.24</v>
      </c>
    </row>
    <row r="220" spans="1:4" x14ac:dyDescent="0.25">
      <c r="A220" s="2" t="str">
        <f>"3.1.2.02.00- OUTRAS DESPESAS COM PESSOAL"</f>
        <v>3.1.2.02.00- OUTRAS DESPESAS COM PESSOAL</v>
      </c>
      <c r="B220" s="10">
        <v>984392.06</v>
      </c>
      <c r="C220" s="10">
        <v>938791.02</v>
      </c>
      <c r="D220" s="10">
        <v>1923183.08</v>
      </c>
    </row>
    <row r="221" spans="1:4" x14ac:dyDescent="0.25">
      <c r="A221" s="2" t="str">
        <f>"3.1.2.02.01- Seguros de Vida"</f>
        <v>3.1.2.02.01- Seguros de Vida</v>
      </c>
      <c r="B221" s="10">
        <v>36531.17</v>
      </c>
      <c r="C221" s="10">
        <v>1709.3</v>
      </c>
      <c r="D221" s="10">
        <v>38240.47</v>
      </c>
    </row>
    <row r="222" spans="1:4" x14ac:dyDescent="0.25">
      <c r="A222" s="2" t="str">
        <f>"3.1.2.02.02- Ass. Medica Odontologica"</f>
        <v>3.1.2.02.02- Ass. Medica Odontologica</v>
      </c>
      <c r="B222" s="10">
        <v>243099.69</v>
      </c>
      <c r="C222" s="10">
        <v>238660.74</v>
      </c>
      <c r="D222" s="10">
        <v>481760.43</v>
      </c>
    </row>
    <row r="223" spans="1:4" x14ac:dyDescent="0.25">
      <c r="A223" s="2" t="str">
        <f>"3.1.2.02.03- Vale Transporte"</f>
        <v>3.1.2.02.03- Vale Transporte</v>
      </c>
      <c r="B223" s="10">
        <v>104913.5</v>
      </c>
      <c r="C223" s="10">
        <v>84612.35</v>
      </c>
      <c r="D223" s="10">
        <v>189525.85</v>
      </c>
    </row>
    <row r="224" spans="1:4" x14ac:dyDescent="0.25">
      <c r="A224" s="2" t="str">
        <f>"3.1.2.02.04- Vale Refeicao/Alimentacao"</f>
        <v>3.1.2.02.04- Vale Refeicao/Alimentacao</v>
      </c>
      <c r="B224" s="10">
        <v>577767.66</v>
      </c>
      <c r="C224" s="10">
        <v>589416.85</v>
      </c>
      <c r="D224" s="10">
        <v>1167184.51</v>
      </c>
    </row>
    <row r="225" spans="1:4" x14ac:dyDescent="0.25">
      <c r="A225" s="2" t="str">
        <f>"3.1.2.02.05- Compl. Auxilio Doenca"</f>
        <v>3.1.2.02.05- Compl. Auxilio Doenca</v>
      </c>
      <c r="B225" s="10">
        <v>2812.54</v>
      </c>
      <c r="C225" s="10">
        <v>4682.62</v>
      </c>
      <c r="D225" s="10">
        <v>7495.16</v>
      </c>
    </row>
    <row r="226" spans="1:4" x14ac:dyDescent="0.25">
      <c r="A226" s="2" t="str">
        <f>"3.1.2.02.06- Cursos e Treinamentos"</f>
        <v>3.1.2.02.06- Cursos e Treinamentos</v>
      </c>
      <c r="B226" s="10">
        <v>0</v>
      </c>
      <c r="C226" s="10">
        <v>590</v>
      </c>
      <c r="D226" s="10">
        <v>590</v>
      </c>
    </row>
    <row r="227" spans="1:4" x14ac:dyDescent="0.25">
      <c r="A227" s="2" t="str">
        <f>"3.1.2.02.07- Auxilio Creche"</f>
        <v>3.1.2.02.07- Auxilio Creche</v>
      </c>
      <c r="B227" s="10">
        <v>19267.5</v>
      </c>
      <c r="C227" s="10">
        <v>19119.16</v>
      </c>
      <c r="D227" s="10">
        <v>38386.660000000003</v>
      </c>
    </row>
    <row r="228" spans="1:4" x14ac:dyDescent="0.25">
      <c r="A228" s="2" t="str">
        <f>"3.1.3.00.00- MATERIAIS"</f>
        <v>3.1.3.00.00- MATERIAIS</v>
      </c>
      <c r="B228" s="10">
        <v>68226.7</v>
      </c>
      <c r="C228" s="10">
        <v>65500.12</v>
      </c>
      <c r="D228" s="10">
        <v>133726.82</v>
      </c>
    </row>
    <row r="229" spans="1:4" x14ac:dyDescent="0.25">
      <c r="A229" s="2" t="str">
        <f>"3.1.3.00.05- Placas/acessorios/mat.fixacao"</f>
        <v>3.1.3.00.05- Placas/acessorios/mat.fixacao</v>
      </c>
      <c r="B229" s="10">
        <v>0</v>
      </c>
      <c r="C229" s="10">
        <v>12705</v>
      </c>
      <c r="D229" s="10">
        <v>12705</v>
      </c>
    </row>
    <row r="230" spans="1:4" x14ac:dyDescent="0.25">
      <c r="A230" s="2" t="str">
        <f>"3.1.3.00.08- Material seguranca e uniformes"</f>
        <v>3.1.3.00.08- Material seguranca e uniformes</v>
      </c>
      <c r="B230" s="10">
        <v>218.05</v>
      </c>
      <c r="C230" s="10">
        <v>327.04000000000002</v>
      </c>
      <c r="D230" s="10">
        <v>545.09</v>
      </c>
    </row>
    <row r="231" spans="1:4" x14ac:dyDescent="0.25">
      <c r="A231" s="2" t="str">
        <f>"3.1.3.00.09- Material limp/conserv/copa/cozin"</f>
        <v>3.1.3.00.09- Material limp/conserv/copa/cozin</v>
      </c>
      <c r="B231" s="10">
        <v>15700.18</v>
      </c>
      <c r="C231" s="10">
        <v>7099.91</v>
      </c>
      <c r="D231" s="10">
        <v>22800.09</v>
      </c>
    </row>
    <row r="232" spans="1:4" x14ac:dyDescent="0.25">
      <c r="A232" s="2" t="str">
        <f>"3.1.3.00.10- Impressos e material de escritorio"</f>
        <v>3.1.3.00.10- Impressos e material de escritorio</v>
      </c>
      <c r="B232" s="10">
        <v>15747.9</v>
      </c>
      <c r="C232" s="10">
        <v>12114.49</v>
      </c>
      <c r="D232" s="10">
        <v>27862.39</v>
      </c>
    </row>
    <row r="233" spans="1:4" x14ac:dyDescent="0.25">
      <c r="A233" s="2" t="str">
        <f>"3.1.3.00.11- Materiais manut. inst. prediais"</f>
        <v>3.1.3.00.11- Materiais manut. inst. prediais</v>
      </c>
      <c r="B233" s="10">
        <v>7719.87</v>
      </c>
      <c r="C233" s="10">
        <v>3345.26</v>
      </c>
      <c r="D233" s="10">
        <v>11065.13</v>
      </c>
    </row>
    <row r="234" spans="1:4" x14ac:dyDescent="0.25">
      <c r="A234" s="2" t="str">
        <f>"3.1.3.00.12- Carnes estacionamento rotativo"</f>
        <v>3.1.3.00.12- Carnes estacionamento rotativo</v>
      </c>
      <c r="B234" s="10">
        <v>26191.16</v>
      </c>
      <c r="C234" s="10">
        <v>21234.79</v>
      </c>
      <c r="D234" s="10">
        <v>47425.95</v>
      </c>
    </row>
    <row r="235" spans="1:4" x14ac:dyDescent="0.25">
      <c r="A235" s="2" t="str">
        <f>"3.1.3.00.15- Materiais e supriment informatic"</f>
        <v>3.1.3.00.15- Materiais e supriment informatic</v>
      </c>
      <c r="B235" s="10">
        <v>2649.54</v>
      </c>
      <c r="C235" s="10">
        <v>5711.01</v>
      </c>
      <c r="D235" s="10">
        <v>8360.5499999999993</v>
      </c>
    </row>
    <row r="236" spans="1:4" x14ac:dyDescent="0.25">
      <c r="A236" s="2" t="str">
        <f>"3.1.3.00.99- Outros materiais"</f>
        <v>3.1.3.00.99- Outros materiais</v>
      </c>
      <c r="B236" s="10">
        <v>0</v>
      </c>
      <c r="C236" s="10">
        <v>2962.62</v>
      </c>
      <c r="D236" s="10">
        <v>2962.62</v>
      </c>
    </row>
    <row r="237" spans="1:4" x14ac:dyDescent="0.25">
      <c r="A237" s="2" t="str">
        <f>"3.1.4.00.00- SERVICOS PRESTADOS POR TERCEIROS"</f>
        <v>3.1.4.00.00- SERVICOS PRESTADOS POR TERCEIROS</v>
      </c>
      <c r="B237" s="10">
        <v>1571316.95</v>
      </c>
      <c r="C237" s="10">
        <v>1735352.56</v>
      </c>
      <c r="D237" s="10">
        <v>3306669.51</v>
      </c>
    </row>
    <row r="238" spans="1:4" x14ac:dyDescent="0.25">
      <c r="A238" s="2" t="str">
        <f>"3.1.4.00.03- Locacao de equipamentos"</f>
        <v>3.1.4.00.03- Locacao de equipamentos</v>
      </c>
      <c r="B238" s="10">
        <v>6705.7</v>
      </c>
      <c r="C238" s="10">
        <v>0</v>
      </c>
      <c r="D238" s="10">
        <v>6705.7</v>
      </c>
    </row>
    <row r="239" spans="1:4" x14ac:dyDescent="0.25">
      <c r="A239" s="2" t="str">
        <f>"3.1.4.00.08- Servicos de auditoria"</f>
        <v>3.1.4.00.08- Servicos de auditoria</v>
      </c>
      <c r="B239" s="10">
        <v>4083.32</v>
      </c>
      <c r="C239" s="10">
        <v>4083.32</v>
      </c>
      <c r="D239" s="10">
        <v>8166.64</v>
      </c>
    </row>
    <row r="240" spans="1:4" x14ac:dyDescent="0.25">
      <c r="A240" s="2" t="str">
        <f>"3.1.4.00.10- Mao de obra contratada"</f>
        <v>3.1.4.00.10- Mao de obra contratada</v>
      </c>
      <c r="B240" s="10">
        <v>58098.8</v>
      </c>
      <c r="C240" s="10">
        <v>189382.97</v>
      </c>
      <c r="D240" s="10">
        <v>247481.77</v>
      </c>
    </row>
    <row r="241" spans="1:4" x14ac:dyDescent="0.25">
      <c r="A241" s="2" t="str">
        <f>"3.1.4.00.13- Publicidade e divulgacao"</f>
        <v>3.1.4.00.13- Publicidade e divulgacao</v>
      </c>
      <c r="B241" s="10">
        <v>14698</v>
      </c>
      <c r="C241" s="10">
        <v>30062.400000000001</v>
      </c>
      <c r="D241" s="10">
        <v>44760.4</v>
      </c>
    </row>
    <row r="242" spans="1:4" x14ac:dyDescent="0.25">
      <c r="A242" s="2" t="str">
        <f>"3.1.4.00.14- Informatica-serv. e/ou locacao"</f>
        <v>3.1.4.00.14- Informatica-serv. e/ou locacao</v>
      </c>
      <c r="B242" s="10">
        <v>40462.36</v>
      </c>
      <c r="C242" s="10">
        <v>67778.64</v>
      </c>
      <c r="D242" s="10">
        <v>108241</v>
      </c>
    </row>
    <row r="243" spans="1:4" x14ac:dyDescent="0.25">
      <c r="A243" s="2" t="str">
        <f>"3.1.4.00.15- Outros serv. prestados - PF"</f>
        <v>3.1.4.00.15- Outros serv. prestados - PF</v>
      </c>
      <c r="B243" s="10">
        <v>5712.06</v>
      </c>
      <c r="C243" s="10">
        <v>8475.9599999999991</v>
      </c>
      <c r="D243" s="10">
        <v>14188.02</v>
      </c>
    </row>
    <row r="244" spans="1:4" x14ac:dyDescent="0.25">
      <c r="A244" s="2" t="str">
        <f>"3.1.4.00.16- Outros serv. Prestados - PJ"</f>
        <v>3.1.4.00.16- Outros serv. Prestados - PJ</v>
      </c>
      <c r="B244" s="10">
        <v>15530.71</v>
      </c>
      <c r="C244" s="10">
        <v>61674.19</v>
      </c>
      <c r="D244" s="10">
        <v>77204.899999999994</v>
      </c>
    </row>
    <row r="245" spans="1:4" x14ac:dyDescent="0.25">
      <c r="A245" s="2" t="str">
        <f>"3.1.4.00.17- Servicos postais"</f>
        <v>3.1.4.00.17- Servicos postais</v>
      </c>
      <c r="B245" s="10">
        <v>6843.82</v>
      </c>
      <c r="C245" s="10">
        <v>5816.21</v>
      </c>
      <c r="D245" s="10">
        <v>12660.03</v>
      </c>
    </row>
    <row r="246" spans="1:4" x14ac:dyDescent="0.25">
      <c r="A246" s="2" t="str">
        <f>"3.1.4.00.18- INSS s/servicos de terceiros"</f>
        <v>3.1.4.00.18- INSS s/servicos de terceiros</v>
      </c>
      <c r="B246" s="10">
        <v>2041.81</v>
      </c>
      <c r="C246" s="10">
        <v>2442.65</v>
      </c>
      <c r="D246" s="10">
        <v>4484.46</v>
      </c>
    </row>
    <row r="247" spans="1:4" x14ac:dyDescent="0.25">
      <c r="A247" s="2" t="str">
        <f>"3.1.4.00.19- Manut. imoveis/instal/equip.oper"</f>
        <v>3.1.4.00.19- Manut. imoveis/instal/equip.oper</v>
      </c>
      <c r="B247" s="10">
        <v>26822.400000000001</v>
      </c>
      <c r="C247" s="10">
        <v>26809.15</v>
      </c>
      <c r="D247" s="10">
        <v>53631.55</v>
      </c>
    </row>
    <row r="248" spans="1:4" x14ac:dyDescent="0.25">
      <c r="A248" s="2" t="str">
        <f>"3.1.4.00.21- Manut. moveis e equip. Escritorio"</f>
        <v>3.1.4.00.21- Manut. moveis e equip. Escritorio</v>
      </c>
      <c r="B248" s="10">
        <v>1650.55</v>
      </c>
      <c r="C248" s="10">
        <v>0</v>
      </c>
      <c r="D248" s="10">
        <v>1650.55</v>
      </c>
    </row>
    <row r="249" spans="1:4" x14ac:dyDescent="0.25">
      <c r="A249" s="2" t="str">
        <f>"3.1.4.00.24- Loc.serv.mensageiro"</f>
        <v>3.1.4.00.24- Loc.serv.mensageiro</v>
      </c>
      <c r="B249" s="10">
        <v>6258.47</v>
      </c>
      <c r="C249" s="10">
        <v>6258.47</v>
      </c>
      <c r="D249" s="10">
        <v>12516.94</v>
      </c>
    </row>
    <row r="250" spans="1:4" x14ac:dyDescent="0.25">
      <c r="A250" s="2" t="str">
        <f>"3.1.4.00.26- Serv.limp.conserv."</f>
        <v>3.1.4.00.26- Serv.limp.conserv.</v>
      </c>
      <c r="B250" s="10">
        <v>1387544.18</v>
      </c>
      <c r="C250" s="10">
        <v>1347603.54</v>
      </c>
      <c r="D250" s="10">
        <v>2735147.72</v>
      </c>
    </row>
    <row r="251" spans="1:4" x14ac:dyDescent="0.25">
      <c r="A251" s="2" t="str">
        <f>"3.1.4.00.34- Comissao s/venda rotativo"</f>
        <v>3.1.4.00.34- Comissao s/venda rotativo</v>
      </c>
      <c r="B251" s="10">
        <v>65234.2</v>
      </c>
      <c r="C251" s="10">
        <v>66543.09</v>
      </c>
      <c r="D251" s="10">
        <v>131777.29</v>
      </c>
    </row>
    <row r="252" spans="1:4" x14ac:dyDescent="0.25">
      <c r="A252" s="2" t="str">
        <f>"3.1.4.00.36- (-) Desconto ISSQN conf Lei 9145 serv. P"</f>
        <v>3.1.4.00.36- (-) Desconto ISSQN conf Lei 9145 serv. P</v>
      </c>
      <c r="B252" s="10">
        <v>-70369.429999999993</v>
      </c>
      <c r="C252" s="10">
        <v>-81578.03</v>
      </c>
      <c r="D252" s="10">
        <v>-151947.46</v>
      </c>
    </row>
    <row r="253" spans="1:4" x14ac:dyDescent="0.25">
      <c r="A253" s="2" t="str">
        <f>"3.1.5.00.00- TARIFAS PUBLICAS"</f>
        <v>3.1.5.00.00- TARIFAS PUBLICAS</v>
      </c>
      <c r="B253" s="10">
        <v>123123.94</v>
      </c>
      <c r="C253" s="10">
        <v>106957.28</v>
      </c>
      <c r="D253" s="10">
        <v>230081.22</v>
      </c>
    </row>
    <row r="254" spans="1:4" x14ac:dyDescent="0.25">
      <c r="A254" s="2" t="str">
        <f>"3.1.5.00.02- Energia eletrica"</f>
        <v>3.1.5.00.02- Energia eletrica</v>
      </c>
      <c r="B254" s="10">
        <v>93722.99</v>
      </c>
      <c r="C254" s="10">
        <v>70862.2</v>
      </c>
      <c r="D254" s="10">
        <v>164585.19</v>
      </c>
    </row>
    <row r="255" spans="1:4" x14ac:dyDescent="0.25">
      <c r="A255" s="2" t="str">
        <f>"3.1.5.00.03- Telefone"</f>
        <v>3.1.5.00.03- Telefone</v>
      </c>
      <c r="B255" s="10">
        <v>29400.95</v>
      </c>
      <c r="C255" s="10">
        <v>36095.08</v>
      </c>
      <c r="D255" s="10">
        <v>65496.03</v>
      </c>
    </row>
    <row r="256" spans="1:4" x14ac:dyDescent="0.25">
      <c r="A256" s="2" t="str">
        <f>"3.1.6.00.00- DESPESAS TRIBUTARIAS"</f>
        <v>3.1.6.00.00- DESPESAS TRIBUTARIAS</v>
      </c>
      <c r="B256" s="10">
        <v>286079.43</v>
      </c>
      <c r="C256" s="10">
        <v>200618.52</v>
      </c>
      <c r="D256" s="10">
        <v>486697.95</v>
      </c>
    </row>
    <row r="257" spans="1:4" x14ac:dyDescent="0.25">
      <c r="A257" s="2" t="str">
        <f>"3.1.6.00.03- IOF"</f>
        <v>3.1.6.00.03- IOF</v>
      </c>
      <c r="B257" s="10">
        <v>1024.8800000000001</v>
      </c>
      <c r="C257" s="10">
        <v>75.13</v>
      </c>
      <c r="D257" s="10">
        <v>1100.01</v>
      </c>
    </row>
    <row r="258" spans="1:4" x14ac:dyDescent="0.25">
      <c r="A258" s="2" t="str">
        <f>"3.1.6.00.06- PIS"</f>
        <v>3.1.6.00.06- PIS</v>
      </c>
      <c r="B258" s="10">
        <v>38888.01</v>
      </c>
      <c r="C258" s="10">
        <v>32217.42</v>
      </c>
      <c r="D258" s="10">
        <v>71105.429999999993</v>
      </c>
    </row>
    <row r="259" spans="1:4" x14ac:dyDescent="0.25">
      <c r="A259" s="2" t="str">
        <f>"3.1.6.00.07- COFINS"</f>
        <v>3.1.6.00.07- COFINS</v>
      </c>
      <c r="B259" s="10">
        <v>179120.55</v>
      </c>
      <c r="C259" s="10">
        <v>148395.4</v>
      </c>
      <c r="D259" s="10">
        <v>327515.95</v>
      </c>
    </row>
    <row r="260" spans="1:4" x14ac:dyDescent="0.25">
      <c r="A260" s="2" t="str">
        <f>"3.1.6.00.10- ISS s/faturamento"</f>
        <v>3.1.6.00.10- ISS s/faturamento</v>
      </c>
      <c r="B260" s="10">
        <v>2233.96</v>
      </c>
      <c r="C260" s="10">
        <v>1873.17</v>
      </c>
      <c r="D260" s="10">
        <v>4107.13</v>
      </c>
    </row>
    <row r="261" spans="1:4" x14ac:dyDescent="0.25">
      <c r="A261" s="2" t="str">
        <f>"3.1.6.00.11- Custas/despesas judiciais"</f>
        <v>3.1.6.00.11- Custas/despesas judiciais</v>
      </c>
      <c r="B261" s="10">
        <v>0</v>
      </c>
      <c r="C261" s="10">
        <v>60</v>
      </c>
      <c r="D261" s="10">
        <v>60</v>
      </c>
    </row>
    <row r="262" spans="1:4" x14ac:dyDescent="0.25">
      <c r="A262" s="2" t="str">
        <f>"3.1.6.00.14- Contrib.entid.classe"</f>
        <v>3.1.6.00.14- Contrib.entid.classe</v>
      </c>
      <c r="B262" s="10">
        <v>63258.61</v>
      </c>
      <c r="C262" s="10">
        <v>16929.53</v>
      </c>
      <c r="D262" s="10">
        <v>80188.14</v>
      </c>
    </row>
    <row r="263" spans="1:4" x14ac:dyDescent="0.25">
      <c r="A263" s="2" t="str">
        <f>"3.1.6.00.15- INSS Serv.terceiros"</f>
        <v>3.1.6.00.15- INSS Serv.terceiros</v>
      </c>
      <c r="B263" s="10">
        <v>1142.4100000000001</v>
      </c>
      <c r="C263" s="10">
        <v>0</v>
      </c>
      <c r="D263" s="10">
        <v>1142.4100000000001</v>
      </c>
    </row>
    <row r="264" spans="1:4" x14ac:dyDescent="0.25">
      <c r="A264" s="2" t="str">
        <f>"3.1.6.00.17- PIS s/ receitas financeiras"</f>
        <v>3.1.6.00.17- PIS s/ receitas financeiras</v>
      </c>
      <c r="B264" s="10">
        <v>57.45</v>
      </c>
      <c r="C264" s="10">
        <v>149.27000000000001</v>
      </c>
      <c r="D264" s="10">
        <v>206.72</v>
      </c>
    </row>
    <row r="265" spans="1:4" x14ac:dyDescent="0.25">
      <c r="A265" s="2" t="str">
        <f>"3.1.6.00.18- Cofins s/ receitas financeiras"</f>
        <v>3.1.6.00.18- Cofins s/ receitas financeiras</v>
      </c>
      <c r="B265" s="10">
        <v>353.56</v>
      </c>
      <c r="C265" s="10">
        <v>918.6</v>
      </c>
      <c r="D265" s="10">
        <v>1272.1600000000001</v>
      </c>
    </row>
    <row r="266" spans="1:4" x14ac:dyDescent="0.25">
      <c r="A266" s="2" t="str">
        <f>"3.1.7.00.00- DESPESAS FINANCEIRAS"</f>
        <v>3.1.7.00.00- DESPESAS FINANCEIRAS</v>
      </c>
      <c r="B266" s="10">
        <v>3619.75</v>
      </c>
      <c r="C266" s="10">
        <v>2234.33</v>
      </c>
      <c r="D266" s="10">
        <v>5854.08</v>
      </c>
    </row>
    <row r="267" spans="1:4" x14ac:dyDescent="0.25">
      <c r="A267" s="2" t="str">
        <f>"3.1.7.01.02- Despesas bancarias"</f>
        <v>3.1.7.01.02- Despesas bancarias</v>
      </c>
      <c r="B267" s="10">
        <v>3619.75</v>
      </c>
      <c r="C267" s="10">
        <v>2234.33</v>
      </c>
      <c r="D267" s="10">
        <v>5854.08</v>
      </c>
    </row>
    <row r="268" spans="1:4" x14ac:dyDescent="0.25">
      <c r="A268" s="2" t="str">
        <f>"3.1.8.00.00- OUTRAS DESPESAS"</f>
        <v>3.1.8.00.00- OUTRAS DESPESAS</v>
      </c>
      <c r="B268" s="10">
        <v>94681.24</v>
      </c>
      <c r="C268" s="10">
        <v>111268.23</v>
      </c>
      <c r="D268" s="10">
        <v>205949.47</v>
      </c>
    </row>
    <row r="269" spans="1:4" x14ac:dyDescent="0.25">
      <c r="A269" s="2" t="str">
        <f>"3.1.8.00.01- Despesas de viagem"</f>
        <v>3.1.8.00.01- Despesas de viagem</v>
      </c>
      <c r="B269" s="10">
        <v>0</v>
      </c>
      <c r="C269" s="10">
        <v>1050</v>
      </c>
      <c r="D269" s="10">
        <v>1050</v>
      </c>
    </row>
    <row r="270" spans="1:4" x14ac:dyDescent="0.25">
      <c r="A270" s="2" t="str">
        <f>"3.1.8.00.05- Depreciacao/amort"</f>
        <v>3.1.8.00.05- Depreciacao/amort</v>
      </c>
      <c r="B270" s="10">
        <v>24208.29</v>
      </c>
      <c r="C270" s="10">
        <v>23580.5</v>
      </c>
      <c r="D270" s="10">
        <v>47788.79</v>
      </c>
    </row>
    <row r="271" spans="1:4" x14ac:dyDescent="0.25">
      <c r="A271" s="2" t="str">
        <f>"3.1.8.00.06- Seguros bens moveis e imoveis"</f>
        <v>3.1.8.00.06- Seguros bens moveis e imoveis</v>
      </c>
      <c r="B271" s="10">
        <v>801.79</v>
      </c>
      <c r="C271" s="10">
        <v>801.79</v>
      </c>
      <c r="D271" s="10">
        <v>1603.58</v>
      </c>
    </row>
    <row r="272" spans="1:4" x14ac:dyDescent="0.25">
      <c r="A272" s="2" t="str">
        <f>"3.1.8.00.08- Alugueis e condominio"</f>
        <v>3.1.8.00.08- Alugueis e condominio</v>
      </c>
      <c r="B272" s="10">
        <v>5071.8100000000004</v>
      </c>
      <c r="C272" s="10">
        <v>5071.8100000000004</v>
      </c>
      <c r="D272" s="10">
        <v>10143.620000000001</v>
      </c>
    </row>
    <row r="273" spans="1:4" x14ac:dyDescent="0.25">
      <c r="A273" s="2" t="str">
        <f>"3.1.8.00.17- Gastos com eventos e promocoes"</f>
        <v>3.1.8.00.17- Gastos com eventos e promocoes</v>
      </c>
      <c r="B273" s="10">
        <v>0</v>
      </c>
      <c r="C273" s="10">
        <v>37547.550000000003</v>
      </c>
      <c r="D273" s="10">
        <v>37547.550000000003</v>
      </c>
    </row>
    <row r="274" spans="1:4" x14ac:dyDescent="0.25">
      <c r="A274" s="2" t="str">
        <f>"3.1.8.00.18- Provisao para perdas"</f>
        <v>3.1.8.00.18- Provisao para perdas</v>
      </c>
      <c r="B274" s="10">
        <v>55983.58</v>
      </c>
      <c r="C274" s="10">
        <v>41359.379999999997</v>
      </c>
      <c r="D274" s="10">
        <v>97342.96</v>
      </c>
    </row>
    <row r="275" spans="1:4" x14ac:dyDescent="0.25">
      <c r="A275" s="2" t="str">
        <f>"3.1.8.00.23- Custas/Despesas Judiciais"</f>
        <v>3.1.8.00.23- Custas/Despesas Judiciais</v>
      </c>
      <c r="B275" s="10">
        <v>8615.77</v>
      </c>
      <c r="C275" s="10">
        <v>1494.69</v>
      </c>
      <c r="D275" s="10">
        <v>10110.459999999999</v>
      </c>
    </row>
    <row r="276" spans="1:4" x14ac:dyDescent="0.25">
      <c r="A276" s="2" t="str">
        <f>"3.1.8.00.99- Despesas diversas"</f>
        <v>3.1.8.00.99- Despesas diversas</v>
      </c>
      <c r="B276" s="10">
        <v>0</v>
      </c>
      <c r="C276" s="10">
        <v>362.51</v>
      </c>
      <c r="D276" s="10">
        <v>362.51</v>
      </c>
    </row>
    <row r="277" spans="1:4" x14ac:dyDescent="0.25">
      <c r="A277" s="2" t="str">
        <f>""</f>
        <v/>
      </c>
      <c r="B277" s="3" t="str">
        <f>""</f>
        <v/>
      </c>
      <c r="C277" s="3" t="str">
        <f>""</f>
        <v/>
      </c>
      <c r="D277" s="3" t="str">
        <f>""</f>
        <v/>
      </c>
    </row>
    <row r="278" spans="1:4" x14ac:dyDescent="0.25">
      <c r="A278" s="2" t="str">
        <f>""</f>
        <v/>
      </c>
      <c r="B278" s="3" t="str">
        <f>""</f>
        <v/>
      </c>
      <c r="C278" s="3" t="str">
        <f>""</f>
        <v/>
      </c>
      <c r="D278" s="3" t="str">
        <f>""</f>
        <v/>
      </c>
    </row>
    <row r="279" spans="1:4" x14ac:dyDescent="0.25">
      <c r="A279" s="2" t="str">
        <f>""</f>
        <v/>
      </c>
      <c r="B279" s="3" t="str">
        <f>""</f>
        <v/>
      </c>
      <c r="C279" s="3" t="str">
        <f>""</f>
        <v/>
      </c>
      <c r="D279" s="3" t="str">
        <f>""</f>
        <v/>
      </c>
    </row>
    <row r="280" spans="1:4" x14ac:dyDescent="0.25">
      <c r="A280" s="2" t="str">
        <f>""</f>
        <v/>
      </c>
      <c r="B280" s="3" t="str">
        <f>""</f>
        <v/>
      </c>
      <c r="C280" s="3" t="str">
        <f>""</f>
        <v/>
      </c>
      <c r="D280" s="3" t="str">
        <f>""</f>
        <v/>
      </c>
    </row>
    <row r="281" spans="1:4" x14ac:dyDescent="0.25">
      <c r="A281" s="2" t="str">
        <f>""</f>
        <v/>
      </c>
      <c r="B281" s="3" t="str">
        <f>""</f>
        <v/>
      </c>
      <c r="C281" s="3" t="str">
        <f>""</f>
        <v/>
      </c>
      <c r="D281" s="3" t="str">
        <f>""</f>
        <v/>
      </c>
    </row>
    <row r="282" spans="1:4" x14ac:dyDescent="0.25">
      <c r="A282" s="2" t="str">
        <f>""</f>
        <v/>
      </c>
      <c r="B282" s="3" t="str">
        <f>""</f>
        <v/>
      </c>
      <c r="C282" s="3" t="str">
        <f>""</f>
        <v/>
      </c>
      <c r="D282" s="3" t="str">
        <f>""</f>
        <v/>
      </c>
    </row>
    <row r="283" spans="1:4" x14ac:dyDescent="0.25">
      <c r="A283" s="2" t="str">
        <f>""</f>
        <v/>
      </c>
      <c r="B283" s="3" t="str">
        <f>""</f>
        <v/>
      </c>
      <c r="C283" s="3" t="str">
        <f>""</f>
        <v/>
      </c>
      <c r="D283" s="3" t="str">
        <f>""</f>
        <v/>
      </c>
    </row>
    <row r="284" spans="1:4" x14ac:dyDescent="0.25">
      <c r="A284" s="2" t="str">
        <f>""</f>
        <v/>
      </c>
      <c r="B284" s="3" t="str">
        <f>""</f>
        <v/>
      </c>
      <c r="C284" s="3" t="str">
        <f>""</f>
        <v/>
      </c>
      <c r="D284" s="3" t="str">
        <f>""</f>
        <v/>
      </c>
    </row>
    <row r="285" spans="1:4" x14ac:dyDescent="0.25">
      <c r="A285" s="2" t="str">
        <f>""</f>
        <v/>
      </c>
      <c r="B285" s="3" t="str">
        <f>""</f>
        <v/>
      </c>
      <c r="C285" s="3" t="str">
        <f>""</f>
        <v/>
      </c>
      <c r="D285" s="3" t="str">
        <f>""</f>
        <v/>
      </c>
    </row>
    <row r="286" spans="1:4" x14ac:dyDescent="0.25">
      <c r="A286" s="2" t="str">
        <f>""</f>
        <v/>
      </c>
      <c r="B286" s="3" t="str">
        <f>""</f>
        <v/>
      </c>
      <c r="C286" s="3" t="str">
        <f>""</f>
        <v/>
      </c>
      <c r="D286" s="3" t="str">
        <f>""</f>
        <v/>
      </c>
    </row>
    <row r="287" spans="1:4" x14ac:dyDescent="0.25">
      <c r="A287" s="2" t="str">
        <f>"RECEITAS"</f>
        <v>RECEITAS</v>
      </c>
      <c r="B287" s="3" t="str">
        <f>""</f>
        <v/>
      </c>
      <c r="C287" s="3" t="str">
        <f>""</f>
        <v/>
      </c>
      <c r="D287" s="3" t="str">
        <f>""</f>
        <v/>
      </c>
    </row>
    <row r="288" spans="1:4" x14ac:dyDescent="0.25">
      <c r="A288" s="2" t="str">
        <f>"4.0.0.00.00- RECEITAS"</f>
        <v>4.0.0.00.00- RECEITAS</v>
      </c>
      <c r="B288" s="10">
        <v>9607778.2799999993</v>
      </c>
      <c r="C288" s="10">
        <v>10281991.5</v>
      </c>
      <c r="D288" s="10">
        <v>19889769.780000001</v>
      </c>
    </row>
    <row r="289" spans="1:4" x14ac:dyDescent="0.25">
      <c r="A289" s="2" t="str">
        <f>"4.1.0.00.00- RECEITAS BHTRANS"</f>
        <v>4.1.0.00.00- RECEITAS BHTRANS</v>
      </c>
      <c r="B289" s="10">
        <v>9446639.75</v>
      </c>
      <c r="C289" s="10">
        <v>10157518.32</v>
      </c>
      <c r="D289" s="10">
        <v>19604158.07</v>
      </c>
    </row>
    <row r="290" spans="1:4" x14ac:dyDescent="0.25">
      <c r="A290" s="2" t="str">
        <f>"4.1.1.00.00- RECEITAS OPERACIONAIS"</f>
        <v>4.1.1.00.00- RECEITAS OPERACIONAIS</v>
      </c>
      <c r="B290" s="10">
        <v>9394752.1099999994</v>
      </c>
      <c r="C290" s="10">
        <v>10093032.640000001</v>
      </c>
      <c r="D290" s="10">
        <v>19487784.75</v>
      </c>
    </row>
    <row r="291" spans="1:4" x14ac:dyDescent="0.25">
      <c r="A291" s="2" t="str">
        <f>"4.1.1.00.05- Midia taxi, escolar e suplementar"</f>
        <v>4.1.1.00.05- Midia taxi, escolar e suplementar</v>
      </c>
      <c r="B291" s="10">
        <v>4190.03</v>
      </c>
      <c r="C291" s="10">
        <v>5359.47</v>
      </c>
      <c r="D291" s="10">
        <v>9549.5</v>
      </c>
    </row>
    <row r="292" spans="1:4" x14ac:dyDescent="0.25">
      <c r="A292" s="2" t="str">
        <f>"4.1.1.00.06- Midia em onibus"</f>
        <v>4.1.1.00.06- Midia em onibus</v>
      </c>
      <c r="B292" s="10">
        <v>55024.57</v>
      </c>
      <c r="C292" s="10">
        <v>57079.61</v>
      </c>
      <c r="D292" s="10">
        <v>112104.18</v>
      </c>
    </row>
    <row r="293" spans="1:4" x14ac:dyDescent="0.25">
      <c r="A293" s="2" t="str">
        <f>"4.1.1.00.07- Midias diversas"</f>
        <v>4.1.1.00.07- Midias diversas</v>
      </c>
      <c r="B293" s="10">
        <v>15251.34</v>
      </c>
      <c r="C293" s="10">
        <v>0</v>
      </c>
      <c r="D293" s="10">
        <v>15251.34</v>
      </c>
    </row>
    <row r="294" spans="1:4" x14ac:dyDescent="0.25">
      <c r="A294" s="2" t="str">
        <f>"4.1.1.00.08- Estacionamento Rotativo"</f>
        <v>4.1.1.00.08- Estacionamento Rotativo</v>
      </c>
      <c r="B294" s="10">
        <v>1331462.7</v>
      </c>
      <c r="C294" s="10">
        <v>1119626.05</v>
      </c>
      <c r="D294" s="10">
        <v>2451088.75</v>
      </c>
    </row>
    <row r="295" spans="1:4" x14ac:dyDescent="0.25">
      <c r="A295" s="2" t="str">
        <f>"4.1.1.00.10- Transf. financeira PBH"</f>
        <v>4.1.1.00.10- Transf. financeira PBH</v>
      </c>
      <c r="B295" s="10">
        <v>7242090.0099999998</v>
      </c>
      <c r="C295" s="10">
        <v>8306455.54</v>
      </c>
      <c r="D295" s="10">
        <v>15548545.550000001</v>
      </c>
    </row>
    <row r="296" spans="1:4" x14ac:dyDescent="0.25">
      <c r="A296" s="2" t="str">
        <f>"4.1.1.00.16- Multas transporte coletivo"</f>
        <v>4.1.1.00.16- Multas transporte coletivo</v>
      </c>
      <c r="B296" s="10">
        <v>531875.16</v>
      </c>
      <c r="C296" s="10">
        <v>441554.38</v>
      </c>
      <c r="D296" s="10">
        <v>973429.54</v>
      </c>
    </row>
    <row r="297" spans="1:4" x14ac:dyDescent="0.25">
      <c r="A297" s="2" t="str">
        <f>"4.1.1.00.17- Multas transporte publico"</f>
        <v>4.1.1.00.17- Multas transporte publico</v>
      </c>
      <c r="B297" s="10">
        <v>132856.57999999999</v>
      </c>
      <c r="C297" s="10">
        <v>121691.02</v>
      </c>
      <c r="D297" s="10">
        <v>254547.6</v>
      </c>
    </row>
    <row r="298" spans="1:4" x14ac:dyDescent="0.25">
      <c r="A298" s="2" t="str">
        <f>"4.1.1.00.19- Subconcessao frotas de taxi"</f>
        <v>4.1.1.00.19- Subconcessao frotas de taxi</v>
      </c>
      <c r="B298" s="10">
        <v>82001.72</v>
      </c>
      <c r="C298" s="10">
        <v>41266.57</v>
      </c>
      <c r="D298" s="10">
        <v>123268.29</v>
      </c>
    </row>
    <row r="299" spans="1:4" x14ac:dyDescent="0.25">
      <c r="A299" s="2" t="str">
        <f>"4.1.2.00.00- RECEITAS ESTACAO DIAMANTE"</f>
        <v>4.1.2.00.00- RECEITAS ESTACAO DIAMANTE</v>
      </c>
      <c r="B299" s="10">
        <v>25491.74</v>
      </c>
      <c r="C299" s="10">
        <v>53178.51</v>
      </c>
      <c r="D299" s="10">
        <v>78670.25</v>
      </c>
    </row>
    <row r="300" spans="1:4" x14ac:dyDescent="0.25">
      <c r="A300" s="2" t="str">
        <f>"4.1.2.00.01- Alugueis"</f>
        <v>4.1.2.00.01- Alugueis</v>
      </c>
      <c r="B300" s="10">
        <v>25491.74</v>
      </c>
      <c r="C300" s="10">
        <v>53178.51</v>
      </c>
      <c r="D300" s="10">
        <v>78670.25</v>
      </c>
    </row>
    <row r="301" spans="1:4" x14ac:dyDescent="0.25">
      <c r="A301" s="2" t="str">
        <f>"4.1.3.00.00- RECEITAS ESTACAO VENDA NOVA"</f>
        <v>4.1.3.00.00- RECEITAS ESTACAO VENDA NOVA</v>
      </c>
      <c r="B301" s="10">
        <v>26395.9</v>
      </c>
      <c r="C301" s="10">
        <v>7875.17</v>
      </c>
      <c r="D301" s="10">
        <v>34271.07</v>
      </c>
    </row>
    <row r="302" spans="1:4" x14ac:dyDescent="0.25">
      <c r="A302" s="2" t="str">
        <f>"4.1.3.00.01- Alugueis"</f>
        <v>4.1.3.00.01- Alugueis</v>
      </c>
      <c r="B302" s="10">
        <v>26395.9</v>
      </c>
      <c r="C302" s="10">
        <v>7875.17</v>
      </c>
      <c r="D302" s="10">
        <v>34271.07</v>
      </c>
    </row>
    <row r="303" spans="1:4" x14ac:dyDescent="0.25">
      <c r="A303" s="2" t="str">
        <f>"4.1.6.00.00- RECEITAS ESTACAO PAMPULHA"</f>
        <v>4.1.6.00.00- RECEITAS ESTACAO PAMPULHA</v>
      </c>
      <c r="B303" s="10">
        <v>0</v>
      </c>
      <c r="C303" s="10">
        <v>3432</v>
      </c>
      <c r="D303" s="10">
        <v>3432</v>
      </c>
    </row>
    <row r="304" spans="1:4" x14ac:dyDescent="0.25">
      <c r="A304" s="2" t="str">
        <f>"4.1.6.00.01- Alugueis"</f>
        <v>4.1.6.00.01- Alugueis</v>
      </c>
      <c r="B304" s="10">
        <v>0</v>
      </c>
      <c r="C304" s="10">
        <v>3432</v>
      </c>
      <c r="D304" s="10">
        <v>3432</v>
      </c>
    </row>
    <row r="305" spans="1:4" x14ac:dyDescent="0.25">
      <c r="A305" s="2" t="str">
        <f>"4.2.0.00.00- RECEITAS FINANCEIRAS"</f>
        <v>4.2.0.00.00- RECEITAS FINANCEIRAS</v>
      </c>
      <c r="B305" s="10">
        <v>8838.92</v>
      </c>
      <c r="C305" s="10">
        <v>22964.880000000001</v>
      </c>
      <c r="D305" s="10">
        <v>31803.8</v>
      </c>
    </row>
    <row r="306" spans="1:4" x14ac:dyDescent="0.25">
      <c r="A306" s="2" t="str">
        <f>"4.2.1.00.00- RECEITAS FINANCEIRAS"</f>
        <v>4.2.1.00.00- RECEITAS FINANCEIRAS</v>
      </c>
      <c r="B306" s="10">
        <v>8722.73</v>
      </c>
      <c r="C306" s="10">
        <v>22872.11</v>
      </c>
      <c r="D306" s="10">
        <v>31594.84</v>
      </c>
    </row>
    <row r="307" spans="1:4" x14ac:dyDescent="0.25">
      <c r="A307" s="2" t="str">
        <f>"4.2.1.00.01- Rendimentos aplic. Financeira"</f>
        <v>4.2.1.00.01- Rendimentos aplic. Financeira</v>
      </c>
      <c r="B307" s="10">
        <v>8208.33</v>
      </c>
      <c r="C307" s="10">
        <v>22872.11</v>
      </c>
      <c r="D307" s="10">
        <v>31080.44</v>
      </c>
    </row>
    <row r="308" spans="1:4" x14ac:dyDescent="0.25">
      <c r="A308" s="2" t="str">
        <f>"4.2.1.00.02- Juros ativos"</f>
        <v>4.2.1.00.02- Juros ativos</v>
      </c>
      <c r="B308" s="10">
        <v>514.4</v>
      </c>
      <c r="C308" s="10">
        <v>0</v>
      </c>
      <c r="D308" s="10">
        <v>514.4</v>
      </c>
    </row>
    <row r="309" spans="1:4" x14ac:dyDescent="0.25">
      <c r="A309" s="2" t="str">
        <f>"4.2.2.00.00- VARIACOES MONETARIAS ATIVAS"</f>
        <v>4.2.2.00.00- VARIACOES MONETARIAS ATIVAS</v>
      </c>
      <c r="B309" s="10">
        <v>116.19</v>
      </c>
      <c r="C309" s="10">
        <v>92.77</v>
      </c>
      <c r="D309" s="10">
        <v>208.96</v>
      </c>
    </row>
    <row r="310" spans="1:4" x14ac:dyDescent="0.25">
      <c r="A310" s="2" t="str">
        <f>"4.2.2.00.01- Variações monetárias ativas"</f>
        <v>4.2.2.00.01- Variações monetárias ativas</v>
      </c>
      <c r="B310" s="10">
        <v>116.19</v>
      </c>
      <c r="C310" s="10">
        <v>92.77</v>
      </c>
      <c r="D310" s="10">
        <v>208.96</v>
      </c>
    </row>
    <row r="311" spans="1:4" x14ac:dyDescent="0.25">
      <c r="A311" s="2" t="str">
        <f>"4.3.0.00.00- OUTRAS RECEITAS"</f>
        <v>4.3.0.00.00- OUTRAS RECEITAS</v>
      </c>
      <c r="B311" s="10">
        <v>152299.60999999999</v>
      </c>
      <c r="C311" s="10">
        <v>101508.3</v>
      </c>
      <c r="D311" s="10">
        <v>253807.91</v>
      </c>
    </row>
    <row r="312" spans="1:4" x14ac:dyDescent="0.25">
      <c r="A312" s="2" t="str">
        <f>"4.3.1.00.00- OUTRAS RECEITAS"</f>
        <v>4.3.1.00.00- OUTRAS RECEITAS</v>
      </c>
      <c r="B312" s="10">
        <v>152299.60999999999</v>
      </c>
      <c r="C312" s="10">
        <v>101508.3</v>
      </c>
      <c r="D312" s="10">
        <v>253807.91</v>
      </c>
    </row>
    <row r="313" spans="1:4" x14ac:dyDescent="0.25">
      <c r="A313" s="2" t="str">
        <f>"4.3.1.00.04- Receitas Diversas"</f>
        <v>4.3.1.00.04- Receitas Diversas</v>
      </c>
      <c r="B313" s="10">
        <v>66382.94</v>
      </c>
      <c r="C313" s="10">
        <v>94083.3</v>
      </c>
      <c r="D313" s="10">
        <v>160466.23999999999</v>
      </c>
    </row>
    <row r="314" spans="1:4" x14ac:dyDescent="0.25">
      <c r="A314" s="2" t="str">
        <f>"4.3.1.00.07- Concessão de Abrigo de ônibus"</f>
        <v>4.3.1.00.07- Concessão de Abrigo de ônibus</v>
      </c>
      <c r="B314" s="10">
        <v>85916.67</v>
      </c>
      <c r="C314" s="10">
        <v>7425</v>
      </c>
      <c r="D314" s="10">
        <v>93341.67</v>
      </c>
    </row>
    <row r="315" spans="1:4" x14ac:dyDescent="0.25">
      <c r="A315" s="2" t="str">
        <f>""</f>
        <v/>
      </c>
      <c r="B315" s="3" t="str">
        <f>""</f>
        <v/>
      </c>
      <c r="C315" s="3" t="str">
        <f>""</f>
        <v/>
      </c>
      <c r="D315" s="3" t="str">
        <f>""</f>
        <v/>
      </c>
    </row>
    <row r="316" spans="1:4" x14ac:dyDescent="0.25">
      <c r="A316" s="2" t="str">
        <f>""</f>
        <v/>
      </c>
      <c r="B316" s="3" t="str">
        <f>""</f>
        <v/>
      </c>
      <c r="C316" s="3" t="str">
        <f>""</f>
        <v/>
      </c>
      <c r="D316" s="3" t="str">
        <f>""</f>
        <v/>
      </c>
    </row>
    <row r="317" spans="1:4" x14ac:dyDescent="0.25">
      <c r="A317" s="2" t="str">
        <f>""</f>
        <v/>
      </c>
      <c r="B317" s="3" t="str">
        <f>""</f>
        <v/>
      </c>
      <c r="C317" s="3" t="str">
        <f>""</f>
        <v/>
      </c>
      <c r="D317" s="3" t="str">
        <f>""</f>
        <v/>
      </c>
    </row>
    <row r="318" spans="1:4" x14ac:dyDescent="0.25">
      <c r="A318" s="2" t="str">
        <f>""</f>
        <v/>
      </c>
      <c r="B318" s="3" t="str">
        <f>""</f>
        <v/>
      </c>
      <c r="C318" s="3" t="str">
        <f>""</f>
        <v/>
      </c>
      <c r="D318" s="3" t="str">
        <f>""</f>
        <v/>
      </c>
    </row>
    <row r="319" spans="1:4" x14ac:dyDescent="0.25">
      <c r="A319" s="2" t="str">
        <f>""</f>
        <v/>
      </c>
      <c r="B319" s="3" t="str">
        <f>""</f>
        <v/>
      </c>
      <c r="C319" s="3" t="str">
        <f>""</f>
        <v/>
      </c>
      <c r="D319" s="3" t="str">
        <f>""</f>
        <v/>
      </c>
    </row>
    <row r="320" spans="1:4" x14ac:dyDescent="0.25">
      <c r="A320" s="2" t="str">
        <f>""</f>
        <v/>
      </c>
      <c r="B320" s="3" t="str">
        <f>""</f>
        <v/>
      </c>
      <c r="C320" s="3" t="str">
        <f>""</f>
        <v/>
      </c>
      <c r="D320" s="3" t="str">
        <f>""</f>
        <v/>
      </c>
    </row>
    <row r="321" spans="1:4" x14ac:dyDescent="0.25">
      <c r="A321" s="2" t="str">
        <f>""</f>
        <v/>
      </c>
      <c r="B321" s="3" t="str">
        <f>""</f>
        <v/>
      </c>
      <c r="C321" s="3" t="str">
        <f>""</f>
        <v/>
      </c>
      <c r="D321" s="3" t="str">
        <f>""</f>
        <v/>
      </c>
    </row>
    <row r="322" spans="1:4" x14ac:dyDescent="0.25">
      <c r="A322" s="2" t="str">
        <f>""</f>
        <v/>
      </c>
      <c r="B322" s="3" t="str">
        <f>""</f>
        <v/>
      </c>
      <c r="C322" s="3" t="str">
        <f>""</f>
        <v/>
      </c>
      <c r="D322" s="3" t="str">
        <f>""</f>
        <v/>
      </c>
    </row>
    <row r="323" spans="1:4" x14ac:dyDescent="0.25">
      <c r="A323" s="2" t="str">
        <f>""</f>
        <v/>
      </c>
      <c r="B323" s="3" t="str">
        <f>""</f>
        <v/>
      </c>
      <c r="C323" s="3" t="str">
        <f>""</f>
        <v/>
      </c>
      <c r="D323" s="3" t="str">
        <f>""</f>
        <v/>
      </c>
    </row>
    <row r="324" spans="1:4" x14ac:dyDescent="0.25">
      <c r="A324" s="2" t="str">
        <f>""</f>
        <v/>
      </c>
      <c r="B324" s="3" t="str">
        <f>""</f>
        <v/>
      </c>
      <c r="C324" s="3" t="str">
        <f>""</f>
        <v/>
      </c>
      <c r="D324" s="3" t="str">
        <f>""</f>
        <v/>
      </c>
    </row>
    <row r="325" spans="1:4" x14ac:dyDescent="0.25">
      <c r="A325" s="2" t="str">
        <f>""</f>
        <v/>
      </c>
      <c r="B325" s="3" t="str">
        <f>""</f>
        <v/>
      </c>
      <c r="C325" s="3" t="str">
        <f>""</f>
        <v/>
      </c>
      <c r="D325" s="3" t="str">
        <f>""</f>
        <v/>
      </c>
    </row>
    <row r="326" spans="1:4" x14ac:dyDescent="0.25">
      <c r="A326" s="2" t="str">
        <f>""</f>
        <v/>
      </c>
      <c r="B326" s="3" t="str">
        <f>""</f>
        <v/>
      </c>
      <c r="C326" s="3" t="str">
        <f>""</f>
        <v/>
      </c>
      <c r="D326" s="3" t="str">
        <f>""</f>
        <v/>
      </c>
    </row>
    <row r="327" spans="1:4" x14ac:dyDescent="0.25">
      <c r="A327" s="2" t="str">
        <f>""</f>
        <v/>
      </c>
      <c r="B327" s="3" t="str">
        <f>""</f>
        <v/>
      </c>
      <c r="C327" s="3" t="str">
        <f>""</f>
        <v/>
      </c>
      <c r="D327" s="3" t="str">
        <f>""</f>
        <v/>
      </c>
    </row>
    <row r="328" spans="1:4" x14ac:dyDescent="0.25">
      <c r="A328" s="2" t="str">
        <f>""</f>
        <v/>
      </c>
      <c r="B328" s="3" t="str">
        <f>""</f>
        <v/>
      </c>
      <c r="C328" s="3" t="str">
        <f>""</f>
        <v/>
      </c>
      <c r="D328" s="3" t="str">
        <f>""</f>
        <v/>
      </c>
    </row>
    <row r="329" spans="1:4" x14ac:dyDescent="0.25">
      <c r="A329" s="2" t="str">
        <f>""</f>
        <v/>
      </c>
      <c r="B329" s="3" t="str">
        <f>""</f>
        <v/>
      </c>
      <c r="C329" s="3" t="str">
        <f>""</f>
        <v/>
      </c>
      <c r="D329" s="3" t="str">
        <f>""</f>
        <v/>
      </c>
    </row>
    <row r="330" spans="1:4" x14ac:dyDescent="0.25">
      <c r="A330" s="2" t="str">
        <f>""</f>
        <v/>
      </c>
      <c r="B330" s="3" t="str">
        <f>""</f>
        <v/>
      </c>
      <c r="C330" s="3" t="str">
        <f>""</f>
        <v/>
      </c>
      <c r="D330" s="3" t="str">
        <f>""</f>
        <v/>
      </c>
    </row>
    <row r="331" spans="1:4" x14ac:dyDescent="0.25">
      <c r="A331" s="2" t="str">
        <f>""</f>
        <v/>
      </c>
      <c r="B331" s="3" t="str">
        <f>""</f>
        <v/>
      </c>
      <c r="C331" s="3" t="str">
        <f>""</f>
        <v/>
      </c>
      <c r="D331" s="3" t="str">
        <f>""</f>
        <v/>
      </c>
    </row>
    <row r="332" spans="1:4" x14ac:dyDescent="0.25">
      <c r="A332" s="2" t="str">
        <f>""</f>
        <v/>
      </c>
      <c r="B332" s="3" t="str">
        <f>""</f>
        <v/>
      </c>
      <c r="C332" s="3" t="str">
        <f>""</f>
        <v/>
      </c>
      <c r="D332" s="3" t="str">
        <f>""</f>
        <v/>
      </c>
    </row>
    <row r="333" spans="1:4" x14ac:dyDescent="0.25">
      <c r="A333" s="2" t="str">
        <f>""</f>
        <v/>
      </c>
      <c r="B333" s="3" t="str">
        <f>""</f>
        <v/>
      </c>
      <c r="C333" s="3" t="str">
        <f>""</f>
        <v/>
      </c>
      <c r="D333" s="3" t="str">
        <f>""</f>
        <v/>
      </c>
    </row>
    <row r="334" spans="1:4" x14ac:dyDescent="0.25">
      <c r="A334" s="2" t="str">
        <f>""</f>
        <v/>
      </c>
      <c r="B334" s="3" t="str">
        <f>""</f>
        <v/>
      </c>
      <c r="C334" s="3" t="str">
        <f>""</f>
        <v/>
      </c>
      <c r="D334" s="3" t="str">
        <f>""</f>
        <v/>
      </c>
    </row>
    <row r="335" spans="1:4" x14ac:dyDescent="0.25">
      <c r="A335" s="2" t="str">
        <f>""</f>
        <v/>
      </c>
      <c r="B335" s="3" t="str">
        <f>""</f>
        <v/>
      </c>
      <c r="C335" s="3" t="str">
        <f>""</f>
        <v/>
      </c>
      <c r="D335" s="3" t="str">
        <f>""</f>
        <v/>
      </c>
    </row>
    <row r="336" spans="1:4" x14ac:dyDescent="0.25">
      <c r="A336" s="2" t="str">
        <f>""</f>
        <v/>
      </c>
      <c r="B336" s="3" t="str">
        <f>""</f>
        <v/>
      </c>
      <c r="C336" s="3" t="str">
        <f>""</f>
        <v/>
      </c>
      <c r="D336" s="3" t="str">
        <f>""</f>
        <v/>
      </c>
    </row>
    <row r="337" spans="1:4" x14ac:dyDescent="0.25">
      <c r="A337" s="2" t="str">
        <f>""</f>
        <v/>
      </c>
      <c r="B337" s="3" t="str">
        <f>""</f>
        <v/>
      </c>
      <c r="C337" s="3" t="str">
        <f>""</f>
        <v/>
      </c>
      <c r="D337" s="3" t="str">
        <f>""</f>
        <v/>
      </c>
    </row>
    <row r="338" spans="1:4" x14ac:dyDescent="0.25">
      <c r="A338" s="2" t="str">
        <f>""</f>
        <v/>
      </c>
      <c r="B338" s="3" t="str">
        <f>""</f>
        <v/>
      </c>
      <c r="C338" s="3" t="str">
        <f>""</f>
        <v/>
      </c>
      <c r="D338" s="3" t="str">
        <f>""</f>
        <v/>
      </c>
    </row>
    <row r="339" spans="1:4" ht="15.75" thickBot="1" x14ac:dyDescent="0.3">
      <c r="A339" s="4" t="str">
        <f>"APURACAO DE RESULTADOS"</f>
        <v>APURACAO DE RESULTADOS</v>
      </c>
      <c r="B339" s="5" t="str">
        <f>""</f>
        <v/>
      </c>
      <c r="C339" s="5" t="str">
        <f>""</f>
        <v/>
      </c>
      <c r="D339" s="5" t="str">
        <f>""</f>
        <v/>
      </c>
    </row>
    <row r="340" spans="1:4" x14ac:dyDescent="0.25">
      <c r="A340" t="s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2"/>
  <sheetViews>
    <sheetView workbookViewId="0">
      <selection activeCell="E1" sqref="E1"/>
    </sheetView>
  </sheetViews>
  <sheetFormatPr defaultRowHeight="15" x14ac:dyDescent="0.25"/>
  <cols>
    <col min="1" max="1" width="71.5703125" bestFit="1" customWidth="1"/>
    <col min="2" max="2" width="14.5703125" bestFit="1" customWidth="1"/>
    <col min="3" max="3" width="14.28515625" bestFit="1" customWidth="1"/>
    <col min="4" max="4" width="14.5703125" bestFit="1" customWidth="1"/>
  </cols>
  <sheetData>
    <row r="1" spans="1:4" ht="19.5" thickBot="1" x14ac:dyDescent="0.35">
      <c r="A1" s="1" t="s">
        <v>3</v>
      </c>
      <c r="B1" s="1"/>
      <c r="C1" s="1"/>
      <c r="D1" s="1"/>
    </row>
    <row r="2" spans="1:4" ht="15.75" thickBot="1" x14ac:dyDescent="0.3">
      <c r="A2" s="8" t="s">
        <v>13</v>
      </c>
      <c r="B2" s="9" t="s">
        <v>14</v>
      </c>
      <c r="C2" s="9" t="s">
        <v>15</v>
      </c>
      <c r="D2" s="9" t="s">
        <v>16</v>
      </c>
    </row>
    <row r="3" spans="1:4" x14ac:dyDescent="0.25">
      <c r="A3" s="6" t="str">
        <f>"ATIVO"</f>
        <v>ATIVO</v>
      </c>
      <c r="B3" s="7" t="str">
        <f>""</f>
        <v/>
      </c>
      <c r="C3" s="7" t="str">
        <f>""</f>
        <v/>
      </c>
      <c r="D3" s="7" t="str">
        <f>""</f>
        <v/>
      </c>
    </row>
    <row r="4" spans="1:4" x14ac:dyDescent="0.25">
      <c r="A4" s="2" t="str">
        <f>"1.0.0.00.00- ATIVO"</f>
        <v>1.0.0.00.00- ATIVO</v>
      </c>
      <c r="B4" s="10">
        <v>29919541.300000001</v>
      </c>
      <c r="C4" s="10">
        <v>1557211.17</v>
      </c>
      <c r="D4" s="10">
        <v>31476752.469999999</v>
      </c>
    </row>
    <row r="5" spans="1:4" x14ac:dyDescent="0.25">
      <c r="A5" s="2" t="str">
        <f>"1.1.0.00.00- ATIVO CIRCULANTE"</f>
        <v>1.1.0.00.00- ATIVO CIRCULANTE</v>
      </c>
      <c r="B5" s="10">
        <v>20169404.870000001</v>
      </c>
      <c r="C5" s="10">
        <v>1177847.1299999999</v>
      </c>
      <c r="D5" s="10">
        <v>21347252</v>
      </c>
    </row>
    <row r="6" spans="1:4" x14ac:dyDescent="0.25">
      <c r="A6" s="2" t="str">
        <f>"1.1.1.00.00- DISPONIVEL"</f>
        <v>1.1.1.00.00- DISPONIVEL</v>
      </c>
      <c r="B6" s="10">
        <v>8018450.6799999997</v>
      </c>
      <c r="C6" s="10">
        <v>1113158.0900000001</v>
      </c>
      <c r="D6" s="10">
        <v>9131608.7699999996</v>
      </c>
    </row>
    <row r="7" spans="1:4" x14ac:dyDescent="0.25">
      <c r="A7" s="2" t="str">
        <f>"1.1.1.02.00- BANCOS C/MOVIMENTO"</f>
        <v>1.1.1.02.00- BANCOS C/MOVIMENTO</v>
      </c>
      <c r="B7" s="10">
        <v>510635.32</v>
      </c>
      <c r="C7" s="10">
        <v>-92320.81</v>
      </c>
      <c r="D7" s="10">
        <v>418314.51</v>
      </c>
    </row>
    <row r="8" spans="1:4" x14ac:dyDescent="0.25">
      <c r="A8" s="2" t="str">
        <f>"1.1.1.02.11- Banco do Brasil S/A - 720.000-5"</f>
        <v>1.1.1.02.11- Banco do Brasil S/A - 720.000-5</v>
      </c>
      <c r="B8" s="10">
        <v>24.66</v>
      </c>
      <c r="C8" s="10">
        <v>426.6</v>
      </c>
      <c r="D8" s="10">
        <v>451.26</v>
      </c>
    </row>
    <row r="9" spans="1:4" x14ac:dyDescent="0.25">
      <c r="A9" s="2" t="str">
        <f>"1.1.1.02.12- Banco do Brasil S/A - 720.001-3"</f>
        <v>1.1.1.02.12- Banco do Brasil S/A - 720.001-3</v>
      </c>
      <c r="B9" s="10">
        <v>176.96</v>
      </c>
      <c r="C9" s="10">
        <v>18153.349999999999</v>
      </c>
      <c r="D9" s="10">
        <v>18330.310000000001</v>
      </c>
    </row>
    <row r="10" spans="1:4" x14ac:dyDescent="0.25">
      <c r="A10" s="2" t="str">
        <f>"1.1.1.02.15- Banco do Brasil S/A - 7.218-4"</f>
        <v>1.1.1.02.15- Banco do Brasil S/A - 7.218-4</v>
      </c>
      <c r="B10" s="10">
        <v>547.64</v>
      </c>
      <c r="C10" s="10">
        <v>2035.36</v>
      </c>
      <c r="D10" s="10">
        <v>2583</v>
      </c>
    </row>
    <row r="11" spans="1:4" x14ac:dyDescent="0.25">
      <c r="A11" s="2" t="str">
        <f>"1.1.1.02.19- Caixa Econ. Federal-C/C 1223-6"</f>
        <v>1.1.1.02.19- Caixa Econ. Federal-C/C 1223-6</v>
      </c>
      <c r="B11" s="10">
        <v>15243.21</v>
      </c>
      <c r="C11" s="10">
        <v>123.71</v>
      </c>
      <c r="D11" s="10">
        <v>15366.92</v>
      </c>
    </row>
    <row r="12" spans="1:4" x14ac:dyDescent="0.25">
      <c r="A12" s="2" t="str">
        <f>"1.1.1.02.28- Bradesco S/A - 2602-6"</f>
        <v>1.1.1.02.28- Bradesco S/A - 2602-6</v>
      </c>
      <c r="B12" s="10">
        <v>320934.09999999998</v>
      </c>
      <c r="C12" s="10">
        <v>-320934.09999999998</v>
      </c>
      <c r="D12" s="10">
        <v>0</v>
      </c>
    </row>
    <row r="13" spans="1:4" x14ac:dyDescent="0.25">
      <c r="A13" s="2" t="str">
        <f>"1.1.1.02.29- Caixa Econômica Federal - 3289-3 Arrecad"</f>
        <v>1.1.1.02.29- Caixa Econômica Federal - 3289-3 Arrecad</v>
      </c>
      <c r="B13" s="10">
        <v>12344.65</v>
      </c>
      <c r="C13" s="10">
        <v>-1517.53</v>
      </c>
      <c r="D13" s="10">
        <v>10827.12</v>
      </c>
    </row>
    <row r="14" spans="1:4" x14ac:dyDescent="0.25">
      <c r="A14" s="2" t="str">
        <f>"1.1.1.02.30- Caixa Econômica Federal - 3291-5 Movimen"</f>
        <v>1.1.1.02.30- Caixa Econômica Federal - 3291-5 Movimen</v>
      </c>
      <c r="B14" s="10">
        <v>568.75</v>
      </c>
      <c r="C14" s="10">
        <v>437.31</v>
      </c>
      <c r="D14" s="10">
        <v>1006.06</v>
      </c>
    </row>
    <row r="15" spans="1:4" x14ac:dyDescent="0.25">
      <c r="A15" s="2" t="str">
        <f>"1.1.1.02.32- Caixa Econômica Federal - 3292-3 Leilão"</f>
        <v>1.1.1.02.32- Caixa Econômica Federal - 3292-3 Leilão</v>
      </c>
      <c r="B15" s="10">
        <v>25.69</v>
      </c>
      <c r="C15" s="10">
        <v>54.31</v>
      </c>
      <c r="D15" s="10">
        <v>80</v>
      </c>
    </row>
    <row r="16" spans="1:4" x14ac:dyDescent="0.25">
      <c r="A16" s="2" t="str">
        <f>"1.1.1.02.33- Caixa Econômica Federal - 3295-8Leilão13"</f>
        <v>1.1.1.02.33- Caixa Econômica Federal - 3295-8Leilão13</v>
      </c>
      <c r="B16" s="10">
        <v>0</v>
      </c>
      <c r="C16" s="10">
        <v>80</v>
      </c>
      <c r="D16" s="10">
        <v>80</v>
      </c>
    </row>
    <row r="17" spans="1:4" x14ac:dyDescent="0.25">
      <c r="A17" s="2" t="str">
        <f>"1.1.1.02.37- Caixa Econômica Federal - 3299-0Leilão16"</f>
        <v>1.1.1.02.37- Caixa Econômica Federal - 3299-0Leilão16</v>
      </c>
      <c r="B17" s="10">
        <v>0</v>
      </c>
      <c r="C17" s="10">
        <v>80</v>
      </c>
      <c r="D17" s="10">
        <v>80</v>
      </c>
    </row>
    <row r="18" spans="1:4" x14ac:dyDescent="0.25">
      <c r="A18" s="2" t="str">
        <f>"1.1.1.02.39- Caixa Econômica Federal - 3301-6 Mídia"</f>
        <v>1.1.1.02.39- Caixa Econômica Federal - 3301-6 Mídia</v>
      </c>
      <c r="B18" s="10">
        <v>18491.57</v>
      </c>
      <c r="C18" s="10">
        <v>-17831.509999999998</v>
      </c>
      <c r="D18" s="10">
        <v>660.06</v>
      </c>
    </row>
    <row r="19" spans="1:4" x14ac:dyDescent="0.25">
      <c r="A19" s="2" t="str">
        <f>"1.1.1.02.40- Caixa Econômica Federal - 3302-4 Mídia"</f>
        <v>1.1.1.02.40- Caixa Econômica Federal - 3302-4 Mídia</v>
      </c>
      <c r="B19" s="10">
        <v>57079.61</v>
      </c>
      <c r="C19" s="10">
        <v>-5223.75</v>
      </c>
      <c r="D19" s="10">
        <v>51855.86</v>
      </c>
    </row>
    <row r="20" spans="1:4" x14ac:dyDescent="0.25">
      <c r="A20" s="2" t="str">
        <f>"1.1.1.02.41- Caixa Econômica Federal - 3303-2Rotativo"</f>
        <v>1.1.1.02.41- Caixa Econômica Federal - 3303-2Rotativo</v>
      </c>
      <c r="B20" s="10">
        <v>66994.81</v>
      </c>
      <c r="C20" s="10">
        <v>249999.11</v>
      </c>
      <c r="D20" s="10">
        <v>316993.91999999998</v>
      </c>
    </row>
    <row r="21" spans="1:4" x14ac:dyDescent="0.25">
      <c r="A21" s="2" t="str">
        <f>"1.1.1.02.42- Caixa Econômica Federal - 3304-0Caução"</f>
        <v>1.1.1.02.42- Caixa Econômica Federal - 3304-0Caução</v>
      </c>
      <c r="B21" s="10">
        <v>18174.419999999998</v>
      </c>
      <c r="C21" s="10">
        <v>-18174.419999999998</v>
      </c>
      <c r="D21" s="10">
        <v>0</v>
      </c>
    </row>
    <row r="22" spans="1:4" x14ac:dyDescent="0.25">
      <c r="A22" s="2" t="str">
        <f>"1.1.1.02.46- Caixa Econômica Federal - 3309-1 Rot int"</f>
        <v>1.1.1.02.46- Caixa Econômica Federal - 3309-1 Rot int</v>
      </c>
      <c r="B22" s="10">
        <v>29.25</v>
      </c>
      <c r="C22" s="10">
        <v>-29.25</v>
      </c>
      <c r="D22" s="10">
        <v>0</v>
      </c>
    </row>
    <row r="23" spans="1:4" x14ac:dyDescent="0.25">
      <c r="A23" s="2" t="str">
        <f>"1.1.1.03.00- APLICACOES FINANCEIRAS"</f>
        <v>1.1.1.03.00- APLICACOES FINANCEIRAS</v>
      </c>
      <c r="B23" s="10">
        <v>3447689.77</v>
      </c>
      <c r="C23" s="10">
        <v>1294161.27</v>
      </c>
      <c r="D23" s="10">
        <v>4741851.04</v>
      </c>
    </row>
    <row r="24" spans="1:4" x14ac:dyDescent="0.25">
      <c r="A24" s="2" t="str">
        <f>"1.1.1.03.23- Caixa Econômica Federal - 3291-5"</f>
        <v>1.1.1.03.23- Caixa Econômica Federal - 3291-5</v>
      </c>
      <c r="B24" s="10">
        <v>2318913.7599999998</v>
      </c>
      <c r="C24" s="10">
        <v>1303875.31</v>
      </c>
      <c r="D24" s="10">
        <v>3622789.07</v>
      </c>
    </row>
    <row r="25" spans="1:4" x14ac:dyDescent="0.25">
      <c r="A25" s="2" t="str">
        <f>"1.1.1.03.25- Caixa Econômica Federal - 3292-3 Leilão"</f>
        <v>1.1.1.03.25- Caixa Econômica Federal - 3292-3 Leilão</v>
      </c>
      <c r="B25" s="10">
        <v>67996.81</v>
      </c>
      <c r="C25" s="10">
        <v>639.11</v>
      </c>
      <c r="D25" s="10">
        <v>68635.92</v>
      </c>
    </row>
    <row r="26" spans="1:4" x14ac:dyDescent="0.25">
      <c r="A26" s="2" t="str">
        <f>"1.1.1.03.26- Caixa Econômica Federal - 3295-8Leilão13"</f>
        <v>1.1.1.03.26- Caixa Econômica Federal - 3295-8Leilão13</v>
      </c>
      <c r="B26" s="10">
        <v>188914.81</v>
      </c>
      <c r="C26" s="10">
        <v>1847.21</v>
      </c>
      <c r="D26" s="10">
        <v>190762.02</v>
      </c>
    </row>
    <row r="27" spans="1:4" x14ac:dyDescent="0.25">
      <c r="A27" s="2" t="str">
        <f>"1.1.1.03.29- Caixa Econômica Federal - 3298-2Leilão15"</f>
        <v>1.1.1.03.29- Caixa Econômica Federal - 3298-2Leilão15</v>
      </c>
      <c r="B27" s="10">
        <v>93768.54</v>
      </c>
      <c r="C27" s="10">
        <v>879.23</v>
      </c>
      <c r="D27" s="10">
        <v>94647.77</v>
      </c>
    </row>
    <row r="28" spans="1:4" x14ac:dyDescent="0.25">
      <c r="A28" s="2" t="str">
        <f>"1.1.1.03.30- Caixa Econômica Federal - 3299-0Leilão16"</f>
        <v>1.1.1.03.30- Caixa Econômica Federal - 3299-0Leilão16</v>
      </c>
      <c r="B28" s="10">
        <v>117183.3</v>
      </c>
      <c r="C28" s="10">
        <v>1115.1500000000001</v>
      </c>
      <c r="D28" s="10">
        <v>118298.45</v>
      </c>
    </row>
    <row r="29" spans="1:4" x14ac:dyDescent="0.25">
      <c r="A29" s="2" t="str">
        <f>"1.1.1.03.31- Caixa Econômica Federal - 3300-8Leilão16"</f>
        <v>1.1.1.03.31- Caixa Econômica Federal - 3300-8Leilão16</v>
      </c>
      <c r="B29" s="10">
        <v>27099.49</v>
      </c>
      <c r="C29" s="10">
        <v>15581.3</v>
      </c>
      <c r="D29" s="10">
        <v>42680.79</v>
      </c>
    </row>
    <row r="30" spans="1:4" x14ac:dyDescent="0.25">
      <c r="A30" s="2" t="str">
        <f>"1.1.1.03.32- Caixa Econômica - 3301-6 Mídia"</f>
        <v>1.1.1.03.32- Caixa Econômica - 3301-6 Mídia</v>
      </c>
      <c r="B30" s="10">
        <v>64851</v>
      </c>
      <c r="C30" s="10">
        <v>4968.8900000000003</v>
      </c>
      <c r="D30" s="10">
        <v>69819.89</v>
      </c>
    </row>
    <row r="31" spans="1:4" x14ac:dyDescent="0.25">
      <c r="A31" s="2" t="str">
        <f>"1.1.1.03.35- Caixa Econômica - 3304-0Caução"</f>
        <v>1.1.1.03.35- Caixa Econômica - 3304-0Caução</v>
      </c>
      <c r="B31" s="10">
        <v>380475.69</v>
      </c>
      <c r="C31" s="10">
        <v>22192.7</v>
      </c>
      <c r="D31" s="10">
        <v>402668.39</v>
      </c>
    </row>
    <row r="32" spans="1:4" x14ac:dyDescent="0.25">
      <c r="A32" s="2" t="str">
        <f>"1.1.1.03.36- Caixa Econômica - 3305-9Sucumb."</f>
        <v>1.1.1.03.36- Caixa Econômica - 3305-9Sucumb.</v>
      </c>
      <c r="B32" s="10">
        <v>4373.76</v>
      </c>
      <c r="C32" s="10">
        <v>42.62</v>
      </c>
      <c r="D32" s="10">
        <v>4416.38</v>
      </c>
    </row>
    <row r="33" spans="1:4" x14ac:dyDescent="0.25">
      <c r="A33" s="2" t="str">
        <f>"1.1.1.03.38- Caixa Econômica - 3308-3Leilão"</f>
        <v>1.1.1.03.38- Caixa Econômica - 3308-3Leilão</v>
      </c>
      <c r="B33" s="10">
        <v>2027.18</v>
      </c>
      <c r="C33" s="10">
        <v>19.75</v>
      </c>
      <c r="D33" s="10">
        <v>2046.93</v>
      </c>
    </row>
    <row r="34" spans="1:4" x14ac:dyDescent="0.25">
      <c r="A34" s="2" t="str">
        <f>"1.1.1.03.41- Caixa Econômica - 531-0 Aci moto poupanç"</f>
        <v>1.1.1.03.41- Caixa Econômica - 531-0 Aci moto poupanç</v>
      </c>
      <c r="B34" s="10">
        <v>64205.13</v>
      </c>
      <c r="C34" s="10">
        <v>-57000</v>
      </c>
      <c r="D34" s="10">
        <v>7205.13</v>
      </c>
    </row>
    <row r="35" spans="1:4" x14ac:dyDescent="0.25">
      <c r="A35" s="2" t="str">
        <f>"1.1.1.03.42- Caixa Econômica - 532-9 Acid Ped Poupanç"</f>
        <v>1.1.1.03.42- Caixa Econômica - 532-9 Acid Ped Poupanç</v>
      </c>
      <c r="B35" s="10">
        <v>33217.160000000003</v>
      </c>
      <c r="C35" s="10">
        <v>0</v>
      </c>
      <c r="D35" s="10">
        <v>33217.160000000003</v>
      </c>
    </row>
    <row r="36" spans="1:4" x14ac:dyDescent="0.25">
      <c r="A36" s="2" t="str">
        <f>"1.1.1.03.43- Caixa Econômica - 534-5 Codemig Poupança"</f>
        <v>1.1.1.03.43- Caixa Econômica - 534-5 Codemig Poupança</v>
      </c>
      <c r="B36" s="10">
        <v>24469.84</v>
      </c>
      <c r="C36" s="10">
        <v>0</v>
      </c>
      <c r="D36" s="10">
        <v>24469.84</v>
      </c>
    </row>
    <row r="37" spans="1:4" x14ac:dyDescent="0.25">
      <c r="A37" s="2" t="str">
        <f>"1.1.1.03.44- Caixa Econômica - 535-3 Turblog Poupança"</f>
        <v>1.1.1.03.44- Caixa Econômica - 535-3 Turblog Poupança</v>
      </c>
      <c r="B37" s="10">
        <v>60193.3</v>
      </c>
      <c r="C37" s="10">
        <v>0</v>
      </c>
      <c r="D37" s="10">
        <v>60193.3</v>
      </c>
    </row>
    <row r="38" spans="1:4" x14ac:dyDescent="0.25">
      <c r="A38" s="2" t="str">
        <f>"1.1.1.04.00- BANCOS C/VINCULADA-PAMEH"</f>
        <v>1.1.1.04.00- BANCOS C/VINCULADA-PAMEH</v>
      </c>
      <c r="B38" s="10">
        <v>4060125.59</v>
      </c>
      <c r="C38" s="10">
        <v>-88682.37</v>
      </c>
      <c r="D38" s="10">
        <v>3971443.22</v>
      </c>
    </row>
    <row r="39" spans="1:4" x14ac:dyDescent="0.25">
      <c r="A39" s="2" t="str">
        <f>"1.1.1.04.04- Mercantil do Brasil 02733249-2"</f>
        <v>1.1.1.04.04- Mercantil do Brasil 02733249-2</v>
      </c>
      <c r="B39" s="10">
        <v>207.81</v>
      </c>
      <c r="C39" s="10">
        <v>0</v>
      </c>
      <c r="D39" s="10">
        <v>207.81</v>
      </c>
    </row>
    <row r="40" spans="1:4" x14ac:dyDescent="0.25">
      <c r="A40" s="2" t="str">
        <f>"1.1.1.04.07- Caixa Econômica Federal - 3294-0"</f>
        <v>1.1.1.04.07- Caixa Econômica Federal - 3294-0</v>
      </c>
      <c r="B40" s="10">
        <v>50</v>
      </c>
      <c r="C40" s="10">
        <v>-845.48</v>
      </c>
      <c r="D40" s="10">
        <v>-795.48</v>
      </c>
    </row>
    <row r="41" spans="1:4" x14ac:dyDescent="0.25">
      <c r="A41" s="2" t="str">
        <f>"1.1.1.04.08- Caixa Econômica Federal - 3294-0 Aplic."</f>
        <v>1.1.1.04.08- Caixa Econômica Federal - 3294-0 Aplic.</v>
      </c>
      <c r="B41" s="10">
        <v>4059867.78</v>
      </c>
      <c r="C41" s="10">
        <v>-87836.89</v>
      </c>
      <c r="D41" s="10">
        <v>3972030.89</v>
      </c>
    </row>
    <row r="42" spans="1:4" x14ac:dyDescent="0.25">
      <c r="A42" s="2" t="str">
        <f>"1.1.2.00.00- REALIZAVEL A CURTO PRAZO"</f>
        <v>1.1.2.00.00- REALIZAVEL A CURTO PRAZO</v>
      </c>
      <c r="B42" s="10">
        <v>12150954.189999999</v>
      </c>
      <c r="C42" s="10">
        <v>64689.04</v>
      </c>
      <c r="D42" s="10">
        <v>12215643.23</v>
      </c>
    </row>
    <row r="43" spans="1:4" x14ac:dyDescent="0.25">
      <c r="A43" s="2" t="str">
        <f>"1.1.2.01.00- CONTAS A RECEBER"</f>
        <v>1.1.2.01.00- CONTAS A RECEBER</v>
      </c>
      <c r="B43" s="10">
        <v>7113410.5499999998</v>
      </c>
      <c r="C43" s="10">
        <v>364364.27</v>
      </c>
      <c r="D43" s="10">
        <v>7477774.8200000003</v>
      </c>
    </row>
    <row r="44" spans="1:4" x14ac:dyDescent="0.25">
      <c r="A44" s="2" t="str">
        <f>"1.1.2.01.89- Multas Transporte Coletivo"</f>
        <v>1.1.2.01.89- Multas Transporte Coletivo</v>
      </c>
      <c r="B44" s="10">
        <v>8392243.0800000001</v>
      </c>
      <c r="C44" s="10">
        <v>404849.19</v>
      </c>
      <c r="D44" s="10">
        <v>8797092.2699999996</v>
      </c>
    </row>
    <row r="45" spans="1:4" x14ac:dyDescent="0.25">
      <c r="A45" s="2" t="str">
        <f>"1.1.2.01.94- Midia Onibus a Receber"</f>
        <v>1.1.2.01.94- Midia Onibus a Receber</v>
      </c>
      <c r="B45" s="10">
        <v>786491.64</v>
      </c>
      <c r="C45" s="10">
        <v>0</v>
      </c>
      <c r="D45" s="10">
        <v>786491.64</v>
      </c>
    </row>
    <row r="46" spans="1:4" x14ac:dyDescent="0.25">
      <c r="A46" s="2" t="str">
        <f>"1.1.2.01.99- (-) Provisao para Perdas"</f>
        <v>1.1.2.01.99- (-) Provisao para Perdas</v>
      </c>
      <c r="B46" s="10">
        <v>-2065324.17</v>
      </c>
      <c r="C46" s="10">
        <v>-40484.92</v>
      </c>
      <c r="D46" s="10">
        <v>-2105809.09</v>
      </c>
    </row>
    <row r="47" spans="1:4" x14ac:dyDescent="0.25">
      <c r="A47" s="2" t="str">
        <f>"1.1.2.06.00- ADIANTAMENTO A EMPREGADOS"</f>
        <v>1.1.2.06.00- ADIANTAMENTO A EMPREGADOS</v>
      </c>
      <c r="B47" s="10">
        <v>1632722.07</v>
      </c>
      <c r="C47" s="10">
        <v>-206901.62</v>
      </c>
      <c r="D47" s="10">
        <v>1425820.45</v>
      </c>
    </row>
    <row r="48" spans="1:4" x14ac:dyDescent="0.25">
      <c r="A48" s="2" t="str">
        <f>"1.1.2.06.01- Adiantamento de Ferias"</f>
        <v>1.1.2.06.01- Adiantamento de Ferias</v>
      </c>
      <c r="B48" s="10">
        <v>1003212.52</v>
      </c>
      <c r="C48" s="10">
        <v>-425135.95</v>
      </c>
      <c r="D48" s="10">
        <v>578076.56999999995</v>
      </c>
    </row>
    <row r="49" spans="1:4" x14ac:dyDescent="0.25">
      <c r="A49" s="2" t="str">
        <f>"1.1.2.06.02- Adiantamento de 13. Salario"</f>
        <v>1.1.2.06.02- Adiantamento de 13. Salario</v>
      </c>
      <c r="B49" s="10">
        <v>399438.55</v>
      </c>
      <c r="C49" s="10">
        <v>206240.63</v>
      </c>
      <c r="D49" s="10">
        <v>605679.18000000005</v>
      </c>
    </row>
    <row r="50" spans="1:4" x14ac:dyDescent="0.25">
      <c r="A50" s="2" t="str">
        <f>"1.1.2.06.03- Adiant. de Salario/Parc. Ferias"</f>
        <v>1.1.2.06.03- Adiant. de Salario/Parc. Ferias</v>
      </c>
      <c r="B50" s="10">
        <v>118118.76</v>
      </c>
      <c r="C50" s="10">
        <v>17049.599999999999</v>
      </c>
      <c r="D50" s="10">
        <v>135168.35999999999</v>
      </c>
    </row>
    <row r="51" spans="1:4" x14ac:dyDescent="0.25">
      <c r="A51" s="2" t="str">
        <f>"1.1.2.06.06- Diferencas Salariais a Apropriar"</f>
        <v>1.1.2.06.06- Diferencas Salariais a Apropriar</v>
      </c>
      <c r="B51" s="10">
        <v>7335.29</v>
      </c>
      <c r="C51" s="10">
        <v>0</v>
      </c>
      <c r="D51" s="10">
        <v>7335.29</v>
      </c>
    </row>
    <row r="52" spans="1:4" x14ac:dyDescent="0.25">
      <c r="A52" s="2" t="str">
        <f>"1.1.2.06.07- Adiantamento Pensao s/ Ferias"</f>
        <v>1.1.2.06.07- Adiantamento Pensao s/ Ferias</v>
      </c>
      <c r="B52" s="10">
        <v>104616.95</v>
      </c>
      <c r="C52" s="10">
        <v>-5055.8999999999996</v>
      </c>
      <c r="D52" s="10">
        <v>99561.05</v>
      </c>
    </row>
    <row r="53" spans="1:4" x14ac:dyDescent="0.25">
      <c r="A53" s="2" t="str">
        <f>"1.1.2.08.00- ALMOXARIFADO"</f>
        <v>1.1.2.08.00- ALMOXARIFADO</v>
      </c>
      <c r="B53" s="10">
        <v>278216.44</v>
      </c>
      <c r="C53" s="10">
        <v>-7440.7</v>
      </c>
      <c r="D53" s="10">
        <v>270775.74</v>
      </c>
    </row>
    <row r="54" spans="1:4" x14ac:dyDescent="0.25">
      <c r="A54" s="2" t="str">
        <f>"1.1.2.08.01- Material em Estoque"</f>
        <v>1.1.2.08.01- Material em Estoque</v>
      </c>
      <c r="B54" s="10">
        <v>278216.44</v>
      </c>
      <c r="C54" s="10">
        <v>-7440.7</v>
      </c>
      <c r="D54" s="10">
        <v>270775.74</v>
      </c>
    </row>
    <row r="55" spans="1:4" x14ac:dyDescent="0.25">
      <c r="A55" s="2" t="str">
        <f>"1.1.2.10.00- IMPOSTOS E CONTRIB.A RECUPERAR"</f>
        <v>1.1.2.10.00- IMPOSTOS E CONTRIB.A RECUPERAR</v>
      </c>
      <c r="B55" s="10">
        <v>1826577.45</v>
      </c>
      <c r="C55" s="10">
        <v>244.86</v>
      </c>
      <c r="D55" s="10">
        <v>1826822.31</v>
      </c>
    </row>
    <row r="56" spans="1:4" x14ac:dyDescent="0.25">
      <c r="A56" s="2" t="str">
        <f>"1.1.2.10.01- IR s/Aplicacao Financeira"</f>
        <v>1.1.2.10.01- IR s/Aplicacao Financeira</v>
      </c>
      <c r="B56" s="10">
        <v>394989.49</v>
      </c>
      <c r="C56" s="10">
        <v>132.88</v>
      </c>
      <c r="D56" s="10">
        <v>395122.37</v>
      </c>
    </row>
    <row r="57" spans="1:4" x14ac:dyDescent="0.25">
      <c r="A57" s="2" t="str">
        <f>"1.1.2.10.08- IRRF a Compensar"</f>
        <v>1.1.2.10.08- IRRF a Compensar</v>
      </c>
      <c r="B57" s="10">
        <v>1454.99</v>
      </c>
      <c r="C57" s="10">
        <v>0</v>
      </c>
      <c r="D57" s="10">
        <v>1454.99</v>
      </c>
    </row>
    <row r="58" spans="1:4" x14ac:dyDescent="0.25">
      <c r="A58" s="2" t="str">
        <f>"1.1.2.10.10- INSS a Recuperar"</f>
        <v>1.1.2.10.10- INSS a Recuperar</v>
      </c>
      <c r="B58" s="10">
        <v>51768.62</v>
      </c>
      <c r="C58" s="10">
        <v>0</v>
      </c>
      <c r="D58" s="10">
        <v>51768.62</v>
      </c>
    </row>
    <row r="59" spans="1:4" x14ac:dyDescent="0.25">
      <c r="A59" s="2" t="str">
        <f>"1.1.2.10.15- Cofins a Compensar"</f>
        <v>1.1.2.10.15- Cofins a Compensar</v>
      </c>
      <c r="B59" s="10">
        <v>1039251</v>
      </c>
      <c r="C59" s="10">
        <v>0.02</v>
      </c>
      <c r="D59" s="10">
        <v>1039251.02</v>
      </c>
    </row>
    <row r="60" spans="1:4" x14ac:dyDescent="0.25">
      <c r="A60" s="2" t="str">
        <f>"1.1.2.10.16- PIS a Compensar"</f>
        <v>1.1.2.10.16- PIS a Compensar</v>
      </c>
      <c r="B60" s="10">
        <v>224393.89</v>
      </c>
      <c r="C60" s="10">
        <v>0.01</v>
      </c>
      <c r="D60" s="10">
        <v>224393.9</v>
      </c>
    </row>
    <row r="61" spans="1:4" x14ac:dyDescent="0.25">
      <c r="A61" s="2" t="str">
        <f>"1.1.2.10.20- V.M.A PIS a Recuperar"</f>
        <v>1.1.2.10.20- V.M.A PIS a Recuperar</v>
      </c>
      <c r="B61" s="10">
        <v>936.9</v>
      </c>
      <c r="C61" s="10">
        <v>61.29</v>
      </c>
      <c r="D61" s="10">
        <v>998.19</v>
      </c>
    </row>
    <row r="62" spans="1:4" x14ac:dyDescent="0.25">
      <c r="A62" s="2" t="str">
        <f>"1.1.2.10.21- V.M.A IRRF a Compensar"</f>
        <v>1.1.2.10.21- V.M.A IRRF a Compensar</v>
      </c>
      <c r="B62" s="10">
        <v>369.45</v>
      </c>
      <c r="C62" s="10">
        <v>15.28</v>
      </c>
      <c r="D62" s="10">
        <v>384.73</v>
      </c>
    </row>
    <row r="63" spans="1:4" x14ac:dyDescent="0.25">
      <c r="A63" s="2" t="str">
        <f>"1.1.2.10.22- V.M.A COFINS a Compensar"</f>
        <v>1.1.2.10.22- V.M.A COFINS a Compensar</v>
      </c>
      <c r="B63" s="10">
        <v>5149.34</v>
      </c>
      <c r="C63" s="10">
        <v>35.380000000000003</v>
      </c>
      <c r="D63" s="10">
        <v>5184.72</v>
      </c>
    </row>
    <row r="64" spans="1:4" x14ac:dyDescent="0.25">
      <c r="A64" s="2" t="str">
        <f>"1.1.2.10.25- INSS a recuperar segurados"</f>
        <v>1.1.2.10.25- INSS a recuperar segurados</v>
      </c>
      <c r="B64" s="10">
        <v>108263.77</v>
      </c>
      <c r="C64" s="10">
        <v>0</v>
      </c>
      <c r="D64" s="10">
        <v>108263.77</v>
      </c>
    </row>
    <row r="65" spans="1:4" x14ac:dyDescent="0.25">
      <c r="A65" s="2" t="str">
        <f>"1.1.2.11.00- DESPESAS ANTECIPADAS"</f>
        <v>1.1.2.11.00- DESPESAS ANTECIPADAS</v>
      </c>
      <c r="B65" s="10">
        <v>4633.1000000000004</v>
      </c>
      <c r="C65" s="10">
        <v>3771.1</v>
      </c>
      <c r="D65" s="10">
        <v>8404.2000000000007</v>
      </c>
    </row>
    <row r="66" spans="1:4" x14ac:dyDescent="0.25">
      <c r="A66" s="2" t="str">
        <f>"1.1.2.11.01- Premios de Seguros a Vencer"</f>
        <v>1.1.2.11.01- Premios de Seguros a Vencer</v>
      </c>
      <c r="B66" s="10">
        <v>4633.1000000000004</v>
      </c>
      <c r="C66" s="10">
        <v>3771.1</v>
      </c>
      <c r="D66" s="10">
        <v>8404.2000000000007</v>
      </c>
    </row>
    <row r="67" spans="1:4" x14ac:dyDescent="0.25">
      <c r="A67" s="2" t="str">
        <f>"1.1.2.12.00- VALORES VINC.A RECEBER-PAMEH"</f>
        <v>1.1.2.12.00- VALORES VINC.A RECEBER-PAMEH</v>
      </c>
      <c r="B67" s="10">
        <v>637193.97</v>
      </c>
      <c r="C67" s="10">
        <v>-1787.46</v>
      </c>
      <c r="D67" s="10">
        <v>635406.51</v>
      </c>
    </row>
    <row r="68" spans="1:4" x14ac:dyDescent="0.25">
      <c r="A68" s="2" t="str">
        <f>"1.1.2.12.01- Valores Vinculados-PAMEH"</f>
        <v>1.1.2.12.01- Valores Vinculados-PAMEH</v>
      </c>
      <c r="B68" s="10">
        <v>637193.97</v>
      </c>
      <c r="C68" s="10">
        <v>-1787.46</v>
      </c>
      <c r="D68" s="10">
        <v>635406.51</v>
      </c>
    </row>
    <row r="69" spans="1:4" x14ac:dyDescent="0.25">
      <c r="A69" s="2" t="str">
        <f>"1.1.2.14.00- CONTAS TRANSITORIAS - GRUPO ATIVO"</f>
        <v>1.1.2.14.00- CONTAS TRANSITORIAS - GRUPO ATIVO</v>
      </c>
      <c r="B69" s="10">
        <v>634841.56000000006</v>
      </c>
      <c r="C69" s="10">
        <v>-126493.16</v>
      </c>
      <c r="D69" s="10">
        <v>508348.4</v>
      </c>
    </row>
    <row r="70" spans="1:4" x14ac:dyDescent="0.25">
      <c r="A70" s="2" t="str">
        <f>"1.1.2.14.05- Transitoria Folha de Pagamento"</f>
        <v>1.1.2.14.05- Transitoria Folha de Pagamento</v>
      </c>
      <c r="B70" s="10">
        <v>634841.56000000006</v>
      </c>
      <c r="C70" s="10">
        <v>-126493.16</v>
      </c>
      <c r="D70" s="10">
        <v>508348.4</v>
      </c>
    </row>
    <row r="71" spans="1:4" x14ac:dyDescent="0.25">
      <c r="A71" s="2" t="str">
        <f>"1.1.2.15.00- CARNE ESTACIONAMENTO ROTATIVO"</f>
        <v>1.1.2.15.00- CARNE ESTACIONAMENTO ROTATIVO</v>
      </c>
      <c r="B71" s="10">
        <v>23359.05</v>
      </c>
      <c r="C71" s="10">
        <v>38931.75</v>
      </c>
      <c r="D71" s="10">
        <v>62290.8</v>
      </c>
    </row>
    <row r="72" spans="1:4" x14ac:dyDescent="0.25">
      <c r="A72" s="2" t="str">
        <f>"1.1.2.15.01- Carne Rotativo"</f>
        <v>1.1.2.15.01- Carne Rotativo</v>
      </c>
      <c r="B72" s="10">
        <v>23359.05</v>
      </c>
      <c r="C72" s="10">
        <v>38931.75</v>
      </c>
      <c r="D72" s="10">
        <v>62290.8</v>
      </c>
    </row>
    <row r="73" spans="1:4" x14ac:dyDescent="0.25">
      <c r="A73" s="2" t="str">
        <f>"1.2.0.00.00- ATIVO NAO CIRCULANTE"</f>
        <v>1.2.0.00.00- ATIVO NAO CIRCULANTE</v>
      </c>
      <c r="B73" s="10">
        <v>9750136.4299999997</v>
      </c>
      <c r="C73" s="10">
        <v>379364.04</v>
      </c>
      <c r="D73" s="10">
        <v>10129500.470000001</v>
      </c>
    </row>
    <row r="74" spans="1:4" x14ac:dyDescent="0.25">
      <c r="A74" s="2" t="str">
        <f>"1.2.1.00.00- REALIZAVEL A LONGO PRAZO"</f>
        <v>1.2.1.00.00- REALIZAVEL A LONGO PRAZO</v>
      </c>
      <c r="B74" s="10">
        <v>7491878.8899999997</v>
      </c>
      <c r="C74" s="10">
        <v>402133.74</v>
      </c>
      <c r="D74" s="10">
        <v>7894012.6299999999</v>
      </c>
    </row>
    <row r="75" spans="1:4" x14ac:dyDescent="0.25">
      <c r="A75" s="2" t="str">
        <f>"1.2.1.01.00- CREDITOS E VALORES A RECEBER"</f>
        <v>1.2.1.01.00- CREDITOS E VALORES A RECEBER</v>
      </c>
      <c r="B75" s="10">
        <v>7491878.8899999997</v>
      </c>
      <c r="C75" s="10">
        <v>402133.74</v>
      </c>
      <c r="D75" s="10">
        <v>7894012.6299999999</v>
      </c>
    </row>
    <row r="76" spans="1:4" x14ac:dyDescent="0.25">
      <c r="A76" s="2" t="str">
        <f>"1.2.1.01.01- Depositos Judiciais"</f>
        <v>1.2.1.01.01- Depositos Judiciais</v>
      </c>
      <c r="B76" s="10">
        <v>1670173.27</v>
      </c>
      <c r="C76" s="10">
        <v>398408.82</v>
      </c>
      <c r="D76" s="10">
        <v>2068582.09</v>
      </c>
    </row>
    <row r="77" spans="1:4" x14ac:dyDescent="0.25">
      <c r="A77" s="2" t="str">
        <f>"1.2.1.01.03- Depositos Judiciais de Terceiros"</f>
        <v>1.2.1.01.03- Depositos Judiciais de Terceiros</v>
      </c>
      <c r="B77" s="10">
        <v>344210.77</v>
      </c>
      <c r="C77" s="10">
        <v>3724.92</v>
      </c>
      <c r="D77" s="10">
        <v>347935.69</v>
      </c>
    </row>
    <row r="78" spans="1:4" x14ac:dyDescent="0.25">
      <c r="A78" s="2" t="str">
        <f>"1.2.1.01.04- Convenio Prefeitura Betim"</f>
        <v>1.2.1.01.04- Convenio Prefeitura Betim</v>
      </c>
      <c r="B78" s="10">
        <v>21463.9</v>
      </c>
      <c r="C78" s="10">
        <v>0</v>
      </c>
      <c r="D78" s="10">
        <v>21463.9</v>
      </c>
    </row>
    <row r="79" spans="1:4" x14ac:dyDescent="0.25">
      <c r="A79" s="2" t="str">
        <f>"1.2.1.01.05- Convenio IPSEMG"</f>
        <v>1.2.1.01.05- Convenio IPSEMG</v>
      </c>
      <c r="B79" s="10">
        <v>21163.53</v>
      </c>
      <c r="C79" s="10">
        <v>0</v>
      </c>
      <c r="D79" s="10">
        <v>21163.53</v>
      </c>
    </row>
    <row r="80" spans="1:4" x14ac:dyDescent="0.25">
      <c r="A80" s="2" t="str">
        <f>"1.2.1.01.06- Multas Transporte Coletivo"</f>
        <v>1.2.1.01.06- Multas Transporte Coletivo</v>
      </c>
      <c r="B80" s="10">
        <v>5434867.4199999999</v>
      </c>
      <c r="C80" s="10">
        <v>0</v>
      </c>
      <c r="D80" s="10">
        <v>5434867.4199999999</v>
      </c>
    </row>
    <row r="81" spans="1:4" x14ac:dyDescent="0.25">
      <c r="A81" s="2" t="str">
        <f>"1.3.1.00.00- INVESTIMENTOS"</f>
        <v>1.3.1.00.00- INVESTIMENTOS</v>
      </c>
      <c r="B81" s="10">
        <v>26070</v>
      </c>
      <c r="C81" s="10">
        <v>0</v>
      </c>
      <c r="D81" s="10">
        <v>26070</v>
      </c>
    </row>
    <row r="82" spans="1:4" x14ac:dyDescent="0.25">
      <c r="A82" s="2" t="str">
        <f>"1.3.1.01.00- OUTROS INVESTIMENTOS"</f>
        <v>1.3.1.01.00- OUTROS INVESTIMENTOS</v>
      </c>
      <c r="B82" s="10">
        <v>26070</v>
      </c>
      <c r="C82" s="10">
        <v>0</v>
      </c>
      <c r="D82" s="10">
        <v>26070</v>
      </c>
    </row>
    <row r="83" spans="1:4" x14ac:dyDescent="0.25">
      <c r="A83" s="2" t="str">
        <f>"1.3.1.01.01- Obras de Arte"</f>
        <v>1.3.1.01.01- Obras de Arte</v>
      </c>
      <c r="B83" s="10">
        <v>25200</v>
      </c>
      <c r="C83" s="10">
        <v>0</v>
      </c>
      <c r="D83" s="10">
        <v>25200</v>
      </c>
    </row>
    <row r="84" spans="1:4" x14ac:dyDescent="0.25">
      <c r="A84" s="2" t="str">
        <f>"1.3.1.01.02- Participações Societárias - PBH ATIVOS"</f>
        <v>1.3.1.01.02- Participações Societárias - PBH ATIVOS</v>
      </c>
      <c r="B84" s="10">
        <v>870</v>
      </c>
      <c r="C84" s="10">
        <v>0</v>
      </c>
      <c r="D84" s="10">
        <v>870</v>
      </c>
    </row>
    <row r="85" spans="1:4" x14ac:dyDescent="0.25">
      <c r="A85" s="2" t="str">
        <f>"1.3.2.00.00- IMOBILIZADO"</f>
        <v>1.3.2.00.00- IMOBILIZADO</v>
      </c>
      <c r="B85" s="10">
        <v>6870892.1200000001</v>
      </c>
      <c r="C85" s="10">
        <v>748</v>
      </c>
      <c r="D85" s="10">
        <v>6871640.1200000001</v>
      </c>
    </row>
    <row r="86" spans="1:4" x14ac:dyDescent="0.25">
      <c r="A86" s="2" t="str">
        <f>"1.3.2.01.01- Maquinas e equipamentos"</f>
        <v>1.3.2.01.01- Maquinas e equipamentos</v>
      </c>
      <c r="B86" s="10">
        <v>240062.7</v>
      </c>
      <c r="C86" s="10">
        <v>0</v>
      </c>
      <c r="D86" s="10">
        <v>240062.7</v>
      </c>
    </row>
    <row r="87" spans="1:4" x14ac:dyDescent="0.25">
      <c r="A87" s="2" t="str">
        <f>"1.3.2.02.01- Ferramentas"</f>
        <v>1.3.2.02.01- Ferramentas</v>
      </c>
      <c r="B87" s="10">
        <v>9104.81</v>
      </c>
      <c r="C87" s="10">
        <v>0</v>
      </c>
      <c r="D87" s="10">
        <v>9104.81</v>
      </c>
    </row>
    <row r="88" spans="1:4" x14ac:dyDescent="0.25">
      <c r="A88" s="2" t="str">
        <f>"1.3.2.03.01- Equipamentos de comunicacao"</f>
        <v>1.3.2.03.01- Equipamentos de comunicacao</v>
      </c>
      <c r="B88" s="10">
        <v>191924.73</v>
      </c>
      <c r="C88" s="10">
        <v>0</v>
      </c>
      <c r="D88" s="10">
        <v>191924.73</v>
      </c>
    </row>
    <row r="89" spans="1:4" x14ac:dyDescent="0.25">
      <c r="A89" s="2" t="str">
        <f>"1.3.2.04.01- Instalacoes"</f>
        <v>1.3.2.04.01- Instalacoes</v>
      </c>
      <c r="B89" s="10">
        <v>85222.9</v>
      </c>
      <c r="C89" s="10">
        <v>0</v>
      </c>
      <c r="D89" s="10">
        <v>85222.9</v>
      </c>
    </row>
    <row r="90" spans="1:4" x14ac:dyDescent="0.25">
      <c r="A90" s="2" t="str">
        <f>"1.3.2.06.01- Moveis e utensilios"</f>
        <v>1.3.2.06.01- Moveis e utensilios</v>
      </c>
      <c r="B90" s="10">
        <v>539676.85</v>
      </c>
      <c r="C90" s="10">
        <v>0</v>
      </c>
      <c r="D90" s="10">
        <v>539676.85</v>
      </c>
    </row>
    <row r="91" spans="1:4" x14ac:dyDescent="0.25">
      <c r="A91" s="2" t="str">
        <f>"1.3.2.08.01- Instalacoes administrativas"</f>
        <v>1.3.2.08.01- Instalacoes administrativas</v>
      </c>
      <c r="B91" s="10">
        <v>99146.34</v>
      </c>
      <c r="C91" s="10">
        <v>0</v>
      </c>
      <c r="D91" s="10">
        <v>99146.34</v>
      </c>
    </row>
    <row r="92" spans="1:4" x14ac:dyDescent="0.25">
      <c r="A92" s="2" t="str">
        <f>"1.3.2.09.01- Aparelhos/equipamentos diversos"</f>
        <v>1.3.2.09.01- Aparelhos/equipamentos diversos</v>
      </c>
      <c r="B92" s="10">
        <v>603867.32999999996</v>
      </c>
      <c r="C92" s="10">
        <v>748</v>
      </c>
      <c r="D92" s="10">
        <v>604615.32999999996</v>
      </c>
    </row>
    <row r="93" spans="1:4" x14ac:dyDescent="0.25">
      <c r="A93" s="2" t="str">
        <f>"1.3.2.10.01- Equip. p/ processamento de dados"</f>
        <v>1.3.2.10.01- Equip. p/ processamento de dados</v>
      </c>
      <c r="B93" s="10">
        <v>696029.05</v>
      </c>
      <c r="C93" s="10">
        <v>0</v>
      </c>
      <c r="D93" s="10">
        <v>696029.05</v>
      </c>
    </row>
    <row r="94" spans="1:4" x14ac:dyDescent="0.25">
      <c r="A94" s="2" t="str">
        <f>"1.3.2.12.01- Micros/impressoras e acessorios"</f>
        <v>1.3.2.12.01- Micros/impressoras e acessorios</v>
      </c>
      <c r="B94" s="10">
        <v>2688473.03</v>
      </c>
      <c r="C94" s="10">
        <v>0</v>
      </c>
      <c r="D94" s="10">
        <v>2688473.03</v>
      </c>
    </row>
    <row r="95" spans="1:4" x14ac:dyDescent="0.25">
      <c r="A95" s="2" t="str">
        <f>"1.3.2.13.01- Imobilizacao em imoveis de terceiros"</f>
        <v>1.3.2.13.01- Imobilizacao em imoveis de terceiros</v>
      </c>
      <c r="B95" s="10">
        <v>1673924.44</v>
      </c>
      <c r="C95" s="10">
        <v>0</v>
      </c>
      <c r="D95" s="10">
        <v>1673924.44</v>
      </c>
    </row>
    <row r="96" spans="1:4" x14ac:dyDescent="0.25">
      <c r="A96" s="2" t="str">
        <f>"1.3.2.14.02- Estacao pampulha"</f>
        <v>1.3.2.14.02- Estacao pampulha</v>
      </c>
      <c r="B96" s="10">
        <v>43459.94</v>
      </c>
      <c r="C96" s="10">
        <v>0</v>
      </c>
      <c r="D96" s="10">
        <v>43459.94</v>
      </c>
    </row>
    <row r="97" spans="1:4" x14ac:dyDescent="0.25">
      <c r="A97" s="2" t="str">
        <f>"1.3.3.00.00- INTANGIVEL"</f>
        <v>1.3.3.00.00- INTANGIVEL</v>
      </c>
      <c r="B97" s="10">
        <v>891163.55</v>
      </c>
      <c r="C97" s="10">
        <v>0</v>
      </c>
      <c r="D97" s="10">
        <v>891163.55</v>
      </c>
    </row>
    <row r="98" spans="1:4" x14ac:dyDescent="0.25">
      <c r="A98" s="2" t="str">
        <f>"1.3.3.03.00- MARCAS E PATENTES"</f>
        <v>1.3.3.03.00- MARCAS E PATENTES</v>
      </c>
      <c r="B98" s="10">
        <v>808</v>
      </c>
      <c r="C98" s="10">
        <v>0</v>
      </c>
      <c r="D98" s="10">
        <v>808</v>
      </c>
    </row>
    <row r="99" spans="1:4" x14ac:dyDescent="0.25">
      <c r="A99" s="2" t="str">
        <f>"1.3.3.03.01- Marcas e Patentes"</f>
        <v>1.3.3.03.01- Marcas e Patentes</v>
      </c>
      <c r="B99" s="10">
        <v>808</v>
      </c>
      <c r="C99" s="10">
        <v>0</v>
      </c>
      <c r="D99" s="10">
        <v>808</v>
      </c>
    </row>
    <row r="100" spans="1:4" x14ac:dyDescent="0.25">
      <c r="A100" s="2" t="str">
        <f>"1.3.3.04.01- Programas e Sistemas"</f>
        <v>1.3.3.04.01- Programas e Sistemas</v>
      </c>
      <c r="B100" s="10">
        <v>890355.55</v>
      </c>
      <c r="C100" s="10">
        <v>0</v>
      </c>
      <c r="D100" s="10">
        <v>890355.55</v>
      </c>
    </row>
    <row r="101" spans="1:4" x14ac:dyDescent="0.25">
      <c r="A101" s="2" t="str">
        <f>"1.3.5.00.00- ( - )DEPRECIACAO E AMORTIZACAO"</f>
        <v>1.3.5.00.00- ( - )DEPRECIACAO E AMORTIZACAO</v>
      </c>
      <c r="B101" s="10">
        <v>-5529868.1299999999</v>
      </c>
      <c r="C101" s="10">
        <v>-23517.7</v>
      </c>
      <c r="D101" s="10">
        <v>-5553385.8300000001</v>
      </c>
    </row>
    <row r="102" spans="1:4" x14ac:dyDescent="0.25">
      <c r="A102" s="2" t="str">
        <f>"1.3.5.01.00- ( - ) DEPRECIACAO E AMORTIZACAO"</f>
        <v>1.3.5.01.00- ( - ) DEPRECIACAO E AMORTIZACAO</v>
      </c>
      <c r="B102" s="10">
        <v>-5529868.1299999999</v>
      </c>
      <c r="C102" s="10">
        <v>-23517.7</v>
      </c>
      <c r="D102" s="10">
        <v>-5553385.8300000001</v>
      </c>
    </row>
    <row r="103" spans="1:4" x14ac:dyDescent="0.25">
      <c r="A103" s="2" t="str">
        <f>"1.3.5.01.01- ( - ) Moveis e Utensilios"</f>
        <v>1.3.5.01.01- ( - ) Moveis e Utensilios</v>
      </c>
      <c r="B103" s="10">
        <v>-422520.38</v>
      </c>
      <c r="C103" s="10">
        <v>-2677.6</v>
      </c>
      <c r="D103" s="10">
        <v>-425197.98</v>
      </c>
    </row>
    <row r="104" spans="1:4" x14ac:dyDescent="0.25">
      <c r="A104" s="2" t="str">
        <f>"1.3.5.01.02- ( - ) Aparelhos/Equipamentos Diversos"</f>
        <v>1.3.5.01.02- ( - ) Aparelhos/Equipamentos Diversos</v>
      </c>
      <c r="B104" s="10">
        <v>-331603.03999999998</v>
      </c>
      <c r="C104" s="10">
        <v>-4094.59</v>
      </c>
      <c r="D104" s="10">
        <v>-335697.63</v>
      </c>
    </row>
    <row r="105" spans="1:4" x14ac:dyDescent="0.25">
      <c r="A105" s="2" t="str">
        <f>"1.3.5.01.03- ( - ) Instalacoes Administrativas"</f>
        <v>1.3.5.01.03- ( - ) Instalacoes Administrativas</v>
      </c>
      <c r="B105" s="10">
        <v>-98192.31</v>
      </c>
      <c r="C105" s="10">
        <v>-102.62</v>
      </c>
      <c r="D105" s="10">
        <v>-98294.93</v>
      </c>
    </row>
    <row r="106" spans="1:4" x14ac:dyDescent="0.25">
      <c r="A106" s="2" t="str">
        <f>"1.3.5.01.05- ( - ) Impressoras e Micros"</f>
        <v>1.3.5.01.05- ( - ) Impressoras e Micros</v>
      </c>
      <c r="B106" s="10">
        <v>-2580358.16</v>
      </c>
      <c r="C106" s="10">
        <v>-8443.23</v>
      </c>
      <c r="D106" s="10">
        <v>-2588801.39</v>
      </c>
    </row>
    <row r="107" spans="1:4" x14ac:dyDescent="0.25">
      <c r="A107" s="2" t="str">
        <f>"1.3.5.01.06- ( - ) Maquinas e Equipamentos"</f>
        <v>1.3.5.01.06- ( - ) Maquinas e Equipamentos</v>
      </c>
      <c r="B107" s="10">
        <v>-153160.68</v>
      </c>
      <c r="C107" s="10">
        <v>-1485.46</v>
      </c>
      <c r="D107" s="10">
        <v>-154646.14000000001</v>
      </c>
    </row>
    <row r="108" spans="1:4" x14ac:dyDescent="0.25">
      <c r="A108" s="2" t="str">
        <f>"1.3.5.01.07- ( - ) Equipamentos de Comunicacao"</f>
        <v>1.3.5.01.07- ( - ) Equipamentos de Comunicacao</v>
      </c>
      <c r="B108" s="10">
        <v>-191026.59</v>
      </c>
      <c r="C108" s="10">
        <v>-78.02</v>
      </c>
      <c r="D108" s="10">
        <v>-191104.61</v>
      </c>
    </row>
    <row r="109" spans="1:4" x14ac:dyDescent="0.25">
      <c r="A109" s="2" t="str">
        <f>"1.3.5.01.08- ( - ) Instalacoes Operacionais"</f>
        <v>1.3.5.01.08- ( - ) Instalacoes Operacionais</v>
      </c>
      <c r="B109" s="10">
        <v>-63664.07</v>
      </c>
      <c r="C109" s="10">
        <v>-387.08</v>
      </c>
      <c r="D109" s="10">
        <v>-64051.15</v>
      </c>
    </row>
    <row r="110" spans="1:4" x14ac:dyDescent="0.25">
      <c r="A110" s="2" t="str">
        <f>"1.3.5.01.09- ( - ) Programas (Softwares)"</f>
        <v>1.3.5.01.09- ( - ) Programas (Softwares)</v>
      </c>
      <c r="B110" s="10">
        <v>-633297.89</v>
      </c>
      <c r="C110" s="10">
        <v>-612.5</v>
      </c>
      <c r="D110" s="10">
        <v>-633910.39</v>
      </c>
    </row>
    <row r="111" spans="1:4" x14ac:dyDescent="0.25">
      <c r="A111" s="2" t="str">
        <f>"1.3.5.01.14- ( - ) Ferramentas"</f>
        <v>1.3.5.01.14- ( - ) Ferramentas</v>
      </c>
      <c r="B111" s="10">
        <v>-6638.47</v>
      </c>
      <c r="C111" s="10">
        <v>-56.85</v>
      </c>
      <c r="D111" s="10">
        <v>-6695.32</v>
      </c>
    </row>
    <row r="112" spans="1:4" x14ac:dyDescent="0.25">
      <c r="A112" s="2" t="str">
        <f>"1.3.5.01.15- ( - ) Imobilizacoes em Imov. Terceiros"</f>
        <v>1.3.5.01.15- ( - ) Imobilizacoes em Imov. Terceiros</v>
      </c>
      <c r="B112" s="10">
        <v>-1049406.54</v>
      </c>
      <c r="C112" s="10">
        <v>-5579.75</v>
      </c>
      <c r="D112" s="10">
        <v>-1054986.29</v>
      </c>
    </row>
    <row r="113" spans="1:4" x14ac:dyDescent="0.25">
      <c r="A113" s="2" t="str">
        <f>""</f>
        <v/>
      </c>
      <c r="B113" s="3" t="str">
        <f>""</f>
        <v/>
      </c>
      <c r="C113" s="3" t="str">
        <f>""</f>
        <v/>
      </c>
      <c r="D113" s="3" t="str">
        <f>""</f>
        <v/>
      </c>
    </row>
    <row r="114" spans="1:4" x14ac:dyDescent="0.25">
      <c r="A114" s="2" t="str">
        <f>"PASSIVO"</f>
        <v>PASSIVO</v>
      </c>
      <c r="B114" s="3" t="str">
        <f>""</f>
        <v/>
      </c>
      <c r="C114" s="3" t="str">
        <f>""</f>
        <v/>
      </c>
      <c r="D114" s="3" t="str">
        <f>""</f>
        <v/>
      </c>
    </row>
    <row r="115" spans="1:4" x14ac:dyDescent="0.25">
      <c r="A115" s="2" t="str">
        <f>"2.0.0.00.00- PASSIVO"</f>
        <v>2.0.0.00.00- PASSIVO</v>
      </c>
      <c r="B115" s="10">
        <v>30417081.739999998</v>
      </c>
      <c r="C115" s="10">
        <v>1914465.28</v>
      </c>
      <c r="D115" s="10">
        <v>32331547.02</v>
      </c>
    </row>
    <row r="116" spans="1:4" x14ac:dyDescent="0.25">
      <c r="A116" s="2" t="str">
        <f>"2.1.0.00.00- PASSIVO CIRCULANTE"</f>
        <v>2.1.0.00.00- PASSIVO CIRCULANTE</v>
      </c>
      <c r="B116" s="10">
        <v>53682066.670000002</v>
      </c>
      <c r="C116" s="10">
        <v>2008875.1</v>
      </c>
      <c r="D116" s="10">
        <v>55690941.770000003</v>
      </c>
    </row>
    <row r="117" spans="1:4" x14ac:dyDescent="0.25">
      <c r="A117" s="2" t="str">
        <f>"2.1.1.00.00- OBRIGACOES COM PESSOAL"</f>
        <v>2.1.1.00.00- OBRIGACOES COM PESSOAL</v>
      </c>
      <c r="B117" s="10">
        <v>10147831.07</v>
      </c>
      <c r="C117" s="10">
        <v>267542.32</v>
      </c>
      <c r="D117" s="10">
        <v>10415373.390000001</v>
      </c>
    </row>
    <row r="118" spans="1:4" x14ac:dyDescent="0.25">
      <c r="A118" s="2" t="str">
        <f>"2.1.1.01.00- SALARIOS A PAGAR"</f>
        <v>2.1.1.01.00- SALARIOS A PAGAR</v>
      </c>
      <c r="B118" s="10">
        <v>10147831.07</v>
      </c>
      <c r="C118" s="10">
        <v>267542.32</v>
      </c>
      <c r="D118" s="10">
        <v>10415373.390000001</v>
      </c>
    </row>
    <row r="119" spans="1:4" x14ac:dyDescent="0.25">
      <c r="A119" s="2" t="str">
        <f>"2.1.1.01.01- Salarios a Pagar"</f>
        <v>2.1.1.01.01- Salarios a Pagar</v>
      </c>
      <c r="B119" s="10">
        <v>3373701.01</v>
      </c>
      <c r="C119" s="10">
        <v>343818.89</v>
      </c>
      <c r="D119" s="10">
        <v>3717519.9</v>
      </c>
    </row>
    <row r="120" spans="1:4" x14ac:dyDescent="0.25">
      <c r="A120" s="2" t="str">
        <f>"2.1.1.01.02- Provisão 13º Salário"</f>
        <v>2.1.1.01.02- Provisão 13º Salário</v>
      </c>
      <c r="B120" s="10">
        <v>744934.14</v>
      </c>
      <c r="C120" s="10">
        <v>411813.33</v>
      </c>
      <c r="D120" s="10">
        <v>1156747.47</v>
      </c>
    </row>
    <row r="121" spans="1:4" x14ac:dyDescent="0.25">
      <c r="A121" s="2" t="str">
        <f>"2.1.1.01.03- Ferias a pagar"</f>
        <v>2.1.1.01.03- Ferias a pagar</v>
      </c>
      <c r="B121" s="10">
        <v>499280.74</v>
      </c>
      <c r="C121" s="10">
        <v>-483716.01</v>
      </c>
      <c r="D121" s="10">
        <v>15564.73</v>
      </c>
    </row>
    <row r="122" spans="1:4" x14ac:dyDescent="0.25">
      <c r="A122" s="2" t="str">
        <f>"2.1.1.01.05- Rescisoes a Pagar"</f>
        <v>2.1.1.01.05- Rescisoes a Pagar</v>
      </c>
      <c r="B122" s="10">
        <v>20980.31</v>
      </c>
      <c r="C122" s="10">
        <v>811.67</v>
      </c>
      <c r="D122" s="10">
        <v>21791.98</v>
      </c>
    </row>
    <row r="123" spans="1:4" x14ac:dyDescent="0.25">
      <c r="A123" s="2" t="str">
        <f>"2.1.1.01.09- Provisao de Ferias"</f>
        <v>2.1.1.01.09- Provisao de Ferias</v>
      </c>
      <c r="B123" s="10">
        <v>5501599.5800000001</v>
      </c>
      <c r="C123" s="10">
        <v>-5185.5600000000004</v>
      </c>
      <c r="D123" s="10">
        <v>5496414.0199999996</v>
      </c>
    </row>
    <row r="124" spans="1:4" x14ac:dyDescent="0.25">
      <c r="A124" s="2" t="str">
        <f>"2.1.1.01.10- Diferencas Salariais"</f>
        <v>2.1.1.01.10- Diferencas Salariais</v>
      </c>
      <c r="B124" s="10">
        <v>7335.29</v>
      </c>
      <c r="C124" s="10">
        <v>0</v>
      </c>
      <c r="D124" s="10">
        <v>7335.29</v>
      </c>
    </row>
    <row r="125" spans="1:4" x14ac:dyDescent="0.25">
      <c r="A125" s="2" t="str">
        <f>"2.1.2.00.00- OBRIGACOES SOCIAIS A CURTO PRAZO"</f>
        <v>2.1.2.00.00- OBRIGACOES SOCIAIS A CURTO PRAZO</v>
      </c>
      <c r="B125" s="10">
        <v>5076492.55</v>
      </c>
      <c r="C125" s="10">
        <v>571044.15</v>
      </c>
      <c r="D125" s="10">
        <v>5647536.7000000002</v>
      </c>
    </row>
    <row r="126" spans="1:4" x14ac:dyDescent="0.25">
      <c r="A126" s="2" t="str">
        <f>"2.1.2.01.00- OBRIGACOES SOCIAIS A RECOLHER"</f>
        <v>2.1.2.01.00- OBRIGACOES SOCIAIS A RECOLHER</v>
      </c>
      <c r="B126" s="10">
        <v>5076492.55</v>
      </c>
      <c r="C126" s="10">
        <v>571044.15</v>
      </c>
      <c r="D126" s="10">
        <v>5647536.7000000002</v>
      </c>
    </row>
    <row r="127" spans="1:4" x14ac:dyDescent="0.25">
      <c r="A127" s="2" t="str">
        <f>"2.1.2.01.01- INSS a recolher s/Folha Pagto"</f>
        <v>2.1.2.01.01- INSS a recolher s/Folha Pagto</v>
      </c>
      <c r="B127" s="10">
        <v>1827627.6</v>
      </c>
      <c r="C127" s="10">
        <v>265875.78999999998</v>
      </c>
      <c r="D127" s="10">
        <v>2093503.39</v>
      </c>
    </row>
    <row r="128" spans="1:4" x14ac:dyDescent="0.25">
      <c r="A128" s="2" t="str">
        <f>"2.1.2.01.02- FGTS a recolher s/Folha Pagto"</f>
        <v>2.1.2.01.02- FGTS a recolher s/Folha Pagto</v>
      </c>
      <c r="B128" s="10">
        <v>400794.09</v>
      </c>
      <c r="C128" s="10">
        <v>77829.350000000006</v>
      </c>
      <c r="D128" s="10">
        <v>478623.44</v>
      </c>
    </row>
    <row r="129" spans="1:4" x14ac:dyDescent="0.25">
      <c r="A129" s="2" t="str">
        <f>"2.1.2.01.05- Contribuicao Sindical"</f>
        <v>2.1.2.01.05- Contribuicao Sindical</v>
      </c>
      <c r="B129" s="10">
        <v>5720.61</v>
      </c>
      <c r="C129" s="10">
        <v>109347.29</v>
      </c>
      <c r="D129" s="10">
        <v>115067.9</v>
      </c>
    </row>
    <row r="130" spans="1:4" x14ac:dyDescent="0.25">
      <c r="A130" s="2" t="str">
        <f>"2.1.2.01.06- INSS s/Provisao de Ferias"</f>
        <v>2.1.2.01.06- INSS s/Provisao de Ferias</v>
      </c>
      <c r="B130" s="10">
        <v>1597346.66</v>
      </c>
      <c r="C130" s="10">
        <v>-1170.71</v>
      </c>
      <c r="D130" s="10">
        <v>1596175.95</v>
      </c>
    </row>
    <row r="131" spans="1:4" x14ac:dyDescent="0.25">
      <c r="A131" s="2" t="str">
        <f>"2.1.2.01.07- AEB - Assoc. Empreg. BHTRANS"</f>
        <v>2.1.2.01.07- AEB - Assoc. Empreg. BHTRANS</v>
      </c>
      <c r="B131" s="10">
        <v>5126.88</v>
      </c>
      <c r="C131" s="10">
        <v>50.96</v>
      </c>
      <c r="D131" s="10">
        <v>5177.84</v>
      </c>
    </row>
    <row r="132" spans="1:4" x14ac:dyDescent="0.25">
      <c r="A132" s="2" t="str">
        <f>"2.1.2.01.10- INSS s/Provisao de 13.Salario"</f>
        <v>2.1.2.01.10- INSS s/Provisao de 13.Salario</v>
      </c>
      <c r="B132" s="10">
        <v>213889.65</v>
      </c>
      <c r="C132" s="10">
        <v>122193.91</v>
      </c>
      <c r="D132" s="10">
        <v>336083.56</v>
      </c>
    </row>
    <row r="133" spans="1:4" x14ac:dyDescent="0.25">
      <c r="A133" s="2" t="str">
        <f>"2.1.2.01.11- FGTS s/Provisao de 13.Salario"</f>
        <v>2.1.2.01.11- FGTS s/Provisao de 13.Salario</v>
      </c>
      <c r="B133" s="10">
        <v>48435.47</v>
      </c>
      <c r="C133" s="10">
        <v>18806.97</v>
      </c>
      <c r="D133" s="10">
        <v>67242.44</v>
      </c>
    </row>
    <row r="134" spans="1:4" x14ac:dyDescent="0.25">
      <c r="A134" s="2" t="str">
        <f>"2.1.2.01.12- FGTS s/Provisao de Ferias"</f>
        <v>2.1.2.01.12- FGTS s/Provisao de Ferias</v>
      </c>
      <c r="B134" s="10">
        <v>440115.54</v>
      </c>
      <c r="C134" s="10">
        <v>-417.12</v>
      </c>
      <c r="D134" s="10">
        <v>439698.42</v>
      </c>
    </row>
    <row r="135" spans="1:4" x14ac:dyDescent="0.25">
      <c r="A135" s="2" t="str">
        <f>"2.1.2.01.13- Contribuicao ao PAMEH"</f>
        <v>2.1.2.01.13- Contribuicao ao PAMEH</v>
      </c>
      <c r="B135" s="10">
        <v>364811.07</v>
      </c>
      <c r="C135" s="10">
        <v>-2011.26</v>
      </c>
      <c r="D135" s="10">
        <v>362799.81</v>
      </c>
    </row>
    <row r="136" spans="1:4" x14ac:dyDescent="0.25">
      <c r="A136" s="2" t="str">
        <f>"2.1.2.01.15- Crediserv-BH"</f>
        <v>2.1.2.01.15- Crediserv-BH</v>
      </c>
      <c r="B136" s="10">
        <v>17707.009999999998</v>
      </c>
      <c r="C136" s="10">
        <v>187.35</v>
      </c>
      <c r="D136" s="10">
        <v>17894.36</v>
      </c>
    </row>
    <row r="137" spans="1:4" x14ac:dyDescent="0.25">
      <c r="A137" s="2" t="str">
        <f>"2.1.2.01.16- INSS Fonte a Recolher - PJ"</f>
        <v>2.1.2.01.16- INSS Fonte a Recolher - PJ</v>
      </c>
      <c r="B137" s="10">
        <v>153557.25</v>
      </c>
      <c r="C137" s="10">
        <v>-19621.349999999999</v>
      </c>
      <c r="D137" s="10">
        <v>133935.9</v>
      </c>
    </row>
    <row r="138" spans="1:4" x14ac:dyDescent="0.25">
      <c r="A138" s="2" t="str">
        <f>"2.1.2.01.18- INSS Fonte a Recolher - P F"</f>
        <v>2.1.2.01.18- INSS Fonte a Recolher - P F</v>
      </c>
      <c r="B138" s="10">
        <v>810.72</v>
      </c>
      <c r="C138" s="10">
        <v>-27.03</v>
      </c>
      <c r="D138" s="10">
        <v>783.69</v>
      </c>
    </row>
    <row r="139" spans="1:4" x14ac:dyDescent="0.25">
      <c r="A139" s="2" t="str">
        <f>"2.1.2.01.19- ASFIM - PBH"</f>
        <v>2.1.2.01.19- ASFIM - PBH</v>
      </c>
      <c r="B139" s="10">
        <v>550</v>
      </c>
      <c r="C139" s="10">
        <v>0</v>
      </c>
      <c r="D139" s="10">
        <v>550</v>
      </c>
    </row>
    <row r="140" spans="1:4" x14ac:dyDescent="0.25">
      <c r="A140" s="2" t="str">
        <f>"2.1.3.00.00- OBRIGACOES FISCAIS A CURTO PRAZO"</f>
        <v>2.1.3.00.00- OBRIGACOES FISCAIS A CURTO PRAZO</v>
      </c>
      <c r="B140" s="10">
        <v>1290411.28</v>
      </c>
      <c r="C140" s="10">
        <v>104890.51</v>
      </c>
      <c r="D140" s="10">
        <v>1395301.79</v>
      </c>
    </row>
    <row r="141" spans="1:4" x14ac:dyDescent="0.25">
      <c r="A141" s="2" t="str">
        <f>"2.1.3.01.00- IMPOSTOS E TAXAS A RECOLHER"</f>
        <v>2.1.3.01.00- IMPOSTOS E TAXAS A RECOLHER</v>
      </c>
      <c r="B141" s="10">
        <v>1290411.28</v>
      </c>
      <c r="C141" s="10">
        <v>104890.51</v>
      </c>
      <c r="D141" s="10">
        <v>1395301.79</v>
      </c>
    </row>
    <row r="142" spans="1:4" x14ac:dyDescent="0.25">
      <c r="A142" s="2" t="str">
        <f>"2.1.3.01.01- IRRF Fonte Folha Pagto"</f>
        <v>2.1.3.01.01- IRRF Fonte Folha Pagto</v>
      </c>
      <c r="B142" s="10">
        <v>362781.67</v>
      </c>
      <c r="C142" s="10">
        <v>70036.899999999994</v>
      </c>
      <c r="D142" s="10">
        <v>432818.57</v>
      </c>
    </row>
    <row r="143" spans="1:4" x14ac:dyDescent="0.25">
      <c r="A143" s="2" t="str">
        <f>"2.1.3.01.03- IRRF Fonte - Pessoa  Juridica e Física"</f>
        <v>2.1.3.01.03- IRRF Fonte - Pessoa  Juridica e Física</v>
      </c>
      <c r="B143" s="10">
        <v>14617.94</v>
      </c>
      <c r="C143" s="10">
        <v>-1675.17</v>
      </c>
      <c r="D143" s="10">
        <v>12942.77</v>
      </c>
    </row>
    <row r="144" spans="1:4" x14ac:dyDescent="0.25">
      <c r="A144" s="2" t="str">
        <f>"2.1.3.01.05- ISS S/ Faturamento"</f>
        <v>2.1.3.01.05- ISS S/ Faturamento</v>
      </c>
      <c r="B144" s="10">
        <v>1873.17</v>
      </c>
      <c r="C144" s="10">
        <v>-68.930000000000007</v>
      </c>
      <c r="D144" s="10">
        <v>1804.24</v>
      </c>
    </row>
    <row r="145" spans="1:4" x14ac:dyDescent="0.25">
      <c r="A145" s="2" t="str">
        <f>"2.1.3.01.07- COFINS a Recolher"</f>
        <v>2.1.3.01.07- COFINS a Recolher</v>
      </c>
      <c r="B145" s="10">
        <v>679646.54</v>
      </c>
      <c r="C145" s="10">
        <v>32506.04</v>
      </c>
      <c r="D145" s="10">
        <v>712152.58</v>
      </c>
    </row>
    <row r="146" spans="1:4" x14ac:dyDescent="0.25">
      <c r="A146" s="2" t="str">
        <f>"2.1.3.01.08- PIS a Recolher"</f>
        <v>2.1.3.01.08- PIS a Recolher</v>
      </c>
      <c r="B146" s="10">
        <v>147435.31</v>
      </c>
      <c r="C146" s="10">
        <v>7018.89</v>
      </c>
      <c r="D146" s="10">
        <v>154454.20000000001</v>
      </c>
    </row>
    <row r="147" spans="1:4" x14ac:dyDescent="0.25">
      <c r="A147" s="2" t="str">
        <f>"2.1.3.01.09- ISS Fonte a Recolher P.Juridica"</f>
        <v>2.1.3.01.09- ISS Fonte a Recolher P.Juridica</v>
      </c>
      <c r="B147" s="10">
        <v>5795.44</v>
      </c>
      <c r="C147" s="10">
        <v>3372.67</v>
      </c>
      <c r="D147" s="10">
        <v>9168.11</v>
      </c>
    </row>
    <row r="148" spans="1:4" x14ac:dyDescent="0.25">
      <c r="A148" s="2" t="str">
        <f>"2.1.3.01.12- CSLL-COFINS-PIS - FONTE"</f>
        <v>2.1.3.01.12- CSLL-COFINS-PIS - FONTE</v>
      </c>
      <c r="B148" s="10">
        <v>78261.210000000006</v>
      </c>
      <c r="C148" s="10">
        <v>-6299.89</v>
      </c>
      <c r="D148" s="10">
        <v>71961.320000000007</v>
      </c>
    </row>
    <row r="149" spans="1:4" x14ac:dyDescent="0.25">
      <c r="A149" s="2" t="str">
        <f>"2.1.4.00.00- OUTRAS OBRIGACOES A CURTO PRAZO"</f>
        <v>2.1.4.00.00- OUTRAS OBRIGACOES A CURTO PRAZO</v>
      </c>
      <c r="B149" s="10">
        <v>26033917.829999998</v>
      </c>
      <c r="C149" s="10">
        <v>1061809.45</v>
      </c>
      <c r="D149" s="10">
        <v>27095727.280000001</v>
      </c>
    </row>
    <row r="150" spans="1:4" x14ac:dyDescent="0.25">
      <c r="A150" s="2" t="str">
        <f>"2.1.4.01.00- FORNECEDORES"</f>
        <v>2.1.4.01.00- FORNECEDORES</v>
      </c>
      <c r="B150" s="10">
        <v>2530585.34</v>
      </c>
      <c r="C150" s="10">
        <v>29551.7</v>
      </c>
      <c r="D150" s="10">
        <v>2560137.04</v>
      </c>
    </row>
    <row r="151" spans="1:4" x14ac:dyDescent="0.25">
      <c r="A151" s="2" t="str">
        <f>"2.1.4.01.99- Fornecedores"</f>
        <v>2.1.4.01.99- Fornecedores</v>
      </c>
      <c r="B151" s="10">
        <v>2530585.34</v>
      </c>
      <c r="C151" s="10">
        <v>29551.7</v>
      </c>
      <c r="D151" s="10">
        <v>2560137.04</v>
      </c>
    </row>
    <row r="152" spans="1:4" x14ac:dyDescent="0.25">
      <c r="A152" s="2" t="str">
        <f>"2.1.4.02.00- CONTAS A PAGAR"</f>
        <v>2.1.4.02.00- CONTAS A PAGAR</v>
      </c>
      <c r="B152" s="10">
        <v>301151.78999999998</v>
      </c>
      <c r="C152" s="10">
        <v>21914.44</v>
      </c>
      <c r="D152" s="10">
        <v>323066.23</v>
      </c>
    </row>
    <row r="153" spans="1:4" x14ac:dyDescent="0.25">
      <c r="A153" s="2" t="str">
        <f>"2.1.4.02.01- Emprestimo Consignado - Bradesco"</f>
        <v>2.1.4.02.01- Emprestimo Consignado - Bradesco</v>
      </c>
      <c r="B153" s="10">
        <v>25780.89</v>
      </c>
      <c r="C153" s="10">
        <v>13440.9</v>
      </c>
      <c r="D153" s="10">
        <v>39221.79</v>
      </c>
    </row>
    <row r="154" spans="1:4" x14ac:dyDescent="0.25">
      <c r="A154" s="2" t="str">
        <f>"2.1.4.02.03- Emprestimo Consignado - CEF"</f>
        <v>2.1.4.02.03- Emprestimo Consignado - CEF</v>
      </c>
      <c r="B154" s="10">
        <v>42595.05</v>
      </c>
      <c r="C154" s="10">
        <v>-1298.6500000000001</v>
      </c>
      <c r="D154" s="10">
        <v>41296.400000000001</v>
      </c>
    </row>
    <row r="155" spans="1:4" x14ac:dyDescent="0.25">
      <c r="A155" s="2" t="str">
        <f>"2.1.4.02.04- Emprestimo Consignado - B.Brasil"</f>
        <v>2.1.4.02.04- Emprestimo Consignado - B.Brasil</v>
      </c>
      <c r="B155" s="10">
        <v>76159.759999999995</v>
      </c>
      <c r="C155" s="10">
        <v>1678.29</v>
      </c>
      <c r="D155" s="10">
        <v>77838.05</v>
      </c>
    </row>
    <row r="156" spans="1:4" x14ac:dyDescent="0.25">
      <c r="A156" s="2" t="str">
        <f>"2.1.4.02.05- Emprestimo Consignado-Banco Alfa"</f>
        <v>2.1.4.02.05- Emprestimo Consignado-Banco Alfa</v>
      </c>
      <c r="B156" s="10">
        <v>77782.13</v>
      </c>
      <c r="C156" s="10">
        <v>-1697.88</v>
      </c>
      <c r="D156" s="10">
        <v>76084.25</v>
      </c>
    </row>
    <row r="157" spans="1:4" x14ac:dyDescent="0.25">
      <c r="A157" s="2" t="str">
        <f>"2.1.4.02.07- Emprestimo Consignado - B. Safra"</f>
        <v>2.1.4.02.07- Emprestimo Consignado - B. Safra</v>
      </c>
      <c r="B157" s="10">
        <v>21863.64</v>
      </c>
      <c r="C157" s="10">
        <v>537</v>
      </c>
      <c r="D157" s="10">
        <v>22400.639999999999</v>
      </c>
    </row>
    <row r="158" spans="1:4" x14ac:dyDescent="0.25">
      <c r="A158" s="2" t="str">
        <f>"2.1.4.02.08- Emprestimo Consignado - BMG"</f>
        <v>2.1.4.02.08- Emprestimo Consignado - BMG</v>
      </c>
      <c r="B158" s="10">
        <v>1048.25</v>
      </c>
      <c r="C158" s="10">
        <v>0</v>
      </c>
      <c r="D158" s="10">
        <v>1048.25</v>
      </c>
    </row>
    <row r="159" spans="1:4" x14ac:dyDescent="0.25">
      <c r="A159" s="2" t="str">
        <f>"2.1.4.02.09- Emprestimo Consignado - BMC"</f>
        <v>2.1.4.02.09- Emprestimo Consignado - BMC</v>
      </c>
      <c r="B159" s="10">
        <v>692.55</v>
      </c>
      <c r="C159" s="10">
        <v>0</v>
      </c>
      <c r="D159" s="10">
        <v>692.55</v>
      </c>
    </row>
    <row r="160" spans="1:4" x14ac:dyDescent="0.25">
      <c r="A160" s="2" t="str">
        <f>"2.1.4.02.10- Cartão - BMG Card"</f>
        <v>2.1.4.02.10- Cartão - BMG Card</v>
      </c>
      <c r="B160" s="10">
        <v>8232.82</v>
      </c>
      <c r="C160" s="10">
        <v>-373.7</v>
      </c>
      <c r="D160" s="10">
        <v>7859.12</v>
      </c>
    </row>
    <row r="161" spans="1:4" x14ac:dyDescent="0.25">
      <c r="A161" s="2" t="str">
        <f>"2.1.4.02.12- Custas judiciais"</f>
        <v>2.1.4.02.12- Custas judiciais</v>
      </c>
      <c r="B161" s="10">
        <v>0</v>
      </c>
      <c r="C161" s="10">
        <v>1900</v>
      </c>
      <c r="D161" s="10">
        <v>1900</v>
      </c>
    </row>
    <row r="162" spans="1:4" x14ac:dyDescent="0.25">
      <c r="A162" s="2" t="str">
        <f>"2.1.4.02.99- Contas a Pagar"</f>
        <v>2.1.4.02.99- Contas a Pagar</v>
      </c>
      <c r="B162" s="10">
        <v>46996.7</v>
      </c>
      <c r="C162" s="10">
        <v>7728.48</v>
      </c>
      <c r="D162" s="10">
        <v>54725.18</v>
      </c>
    </row>
    <row r="163" spans="1:4" x14ac:dyDescent="0.25">
      <c r="A163" s="2" t="str">
        <f>"2.1.4.03.00- CREDORES DIVERSOS"</f>
        <v>2.1.4.03.00- CREDORES DIVERSOS</v>
      </c>
      <c r="B163" s="10">
        <v>22661118.75</v>
      </c>
      <c r="C163" s="10">
        <v>994927.38</v>
      </c>
      <c r="D163" s="10">
        <v>23656046.129999999</v>
      </c>
    </row>
    <row r="164" spans="1:4" x14ac:dyDescent="0.25">
      <c r="A164" s="2" t="str">
        <f>"2.1.4.03.07- Adiantamento Acionista - Municipio BH"</f>
        <v>2.1.4.03.07- Adiantamento Acionista - Municipio BH</v>
      </c>
      <c r="B164" s="10">
        <v>21829361.899999999</v>
      </c>
      <c r="C164" s="10">
        <v>1009255.67</v>
      </c>
      <c r="D164" s="10">
        <v>22838617.57</v>
      </c>
    </row>
    <row r="165" spans="1:4" x14ac:dyDescent="0.25">
      <c r="A165" s="2" t="str">
        <f>"2.1.4.03.17- Adiantamento de Clientes"</f>
        <v>2.1.4.03.17- Adiantamento de Clientes</v>
      </c>
      <c r="B165" s="10">
        <v>831756.85</v>
      </c>
      <c r="C165" s="10">
        <v>-14328.29</v>
      </c>
      <c r="D165" s="10">
        <v>817428.56</v>
      </c>
    </row>
    <row r="166" spans="1:4" x14ac:dyDescent="0.25">
      <c r="A166" s="2" t="str">
        <f>"2.1.4.04.00- CAUCAO DE TERCEIROS/LEILAO"</f>
        <v>2.1.4.04.00- CAUCAO DE TERCEIROS/LEILAO</v>
      </c>
      <c r="B166" s="10">
        <v>541061.94999999995</v>
      </c>
      <c r="C166" s="10">
        <v>15415.93</v>
      </c>
      <c r="D166" s="10">
        <v>556477.88</v>
      </c>
    </row>
    <row r="167" spans="1:4" x14ac:dyDescent="0.25">
      <c r="A167" s="2" t="str">
        <f>"2.1.4.04.98- Leilões"</f>
        <v>2.1.4.04.98- Leilões</v>
      </c>
      <c r="B167" s="10">
        <v>357641.41</v>
      </c>
      <c r="C167" s="10">
        <v>15415.93</v>
      </c>
      <c r="D167" s="10">
        <v>373057.34</v>
      </c>
    </row>
    <row r="168" spans="1:4" x14ac:dyDescent="0.25">
      <c r="A168" s="2" t="str">
        <f>"2.1.4.04.99- Caucao de Terceiros"</f>
        <v>2.1.4.04.99- Caucao de Terceiros</v>
      </c>
      <c r="B168" s="10">
        <v>183420.54</v>
      </c>
      <c r="C168" s="10">
        <v>0</v>
      </c>
      <c r="D168" s="10">
        <v>183420.54</v>
      </c>
    </row>
    <row r="169" spans="1:4" x14ac:dyDescent="0.25">
      <c r="A169" s="2" t="str">
        <f>"2.1.6.00.00- OBRIGACOES VINC. A PAGAR-PAMEH"</f>
        <v>2.1.6.00.00- OBRIGACOES VINC. A PAGAR-PAMEH</v>
      </c>
      <c r="B169" s="10">
        <v>97760.43</v>
      </c>
      <c r="C169" s="10">
        <v>3588.67</v>
      </c>
      <c r="D169" s="10">
        <v>101349.1</v>
      </c>
    </row>
    <row r="170" spans="1:4" x14ac:dyDescent="0.25">
      <c r="A170" s="2" t="str">
        <f>"2.1.6.01.00- OBRIGACOES VINC. -PAMEH"</f>
        <v>2.1.6.01.00- OBRIGACOES VINC. -PAMEH</v>
      </c>
      <c r="B170" s="10">
        <v>97760.43</v>
      </c>
      <c r="C170" s="10">
        <v>3588.67</v>
      </c>
      <c r="D170" s="10">
        <v>101349.1</v>
      </c>
    </row>
    <row r="171" spans="1:4" x14ac:dyDescent="0.25">
      <c r="A171" s="2" t="str">
        <f>"2.1.6.01.01- Obrigacoes Vinculadas - PAMEH"</f>
        <v>2.1.6.01.01- Obrigacoes Vinculadas - PAMEH</v>
      </c>
      <c r="B171" s="10">
        <v>97760.43</v>
      </c>
      <c r="C171" s="10">
        <v>3588.67</v>
      </c>
      <c r="D171" s="10">
        <v>101349.1</v>
      </c>
    </row>
    <row r="172" spans="1:4" x14ac:dyDescent="0.25">
      <c r="A172" s="2" t="str">
        <f>"2.1.8.00.00- CONTINGÊNCIAS TRABALHISTAS"</f>
        <v>2.1.8.00.00- CONTINGÊNCIAS TRABALHISTAS</v>
      </c>
      <c r="B172" s="10">
        <v>11035653.51</v>
      </c>
      <c r="C172" s="10">
        <v>0</v>
      </c>
      <c r="D172" s="10">
        <v>11035653.51</v>
      </c>
    </row>
    <row r="173" spans="1:4" x14ac:dyDescent="0.25">
      <c r="A173" s="2" t="str">
        <f>"2.1.8.01.00- CONTINGÊNCIAS TRABALHISTAS"</f>
        <v>2.1.8.01.00- CONTINGÊNCIAS TRABALHISTAS</v>
      </c>
      <c r="B173" s="10">
        <v>11035653.51</v>
      </c>
      <c r="C173" s="10">
        <v>0</v>
      </c>
      <c r="D173" s="10">
        <v>11035653.51</v>
      </c>
    </row>
    <row r="174" spans="1:4" x14ac:dyDescent="0.25">
      <c r="A174" s="2" t="str">
        <f>"2.1.8.01.01- Contingências Trabalhistas - ACT"</f>
        <v>2.1.8.01.01- Contingências Trabalhistas - ACT</v>
      </c>
      <c r="B174" s="10">
        <v>11035653.51</v>
      </c>
      <c r="C174" s="10">
        <v>0</v>
      </c>
      <c r="D174" s="10">
        <v>11035653.51</v>
      </c>
    </row>
    <row r="175" spans="1:4" x14ac:dyDescent="0.25">
      <c r="A175" s="2" t="str">
        <f>"2.2.0.00.00- PASSIVO NAO CIRCULANTE"</f>
        <v>2.2.0.00.00- PASSIVO NAO CIRCULANTE</v>
      </c>
      <c r="B175" s="10">
        <v>40646668.310000002</v>
      </c>
      <c r="C175" s="10">
        <v>-94058.5</v>
      </c>
      <c r="D175" s="10">
        <v>40552609.810000002</v>
      </c>
    </row>
    <row r="176" spans="1:4" x14ac:dyDescent="0.25">
      <c r="A176" s="2" t="str">
        <f>"2.2.4.00.00- OUTRAS OBRIGACOES A LONGO PRAZO"</f>
        <v>2.2.4.00.00- OUTRAS OBRIGACOES A LONGO PRAZO</v>
      </c>
      <c r="B176" s="10">
        <v>35783787.479999997</v>
      </c>
      <c r="C176" s="10">
        <v>0</v>
      </c>
      <c r="D176" s="10">
        <v>35783787.479999997</v>
      </c>
    </row>
    <row r="177" spans="1:4" x14ac:dyDescent="0.25">
      <c r="A177" s="2" t="str">
        <f>"2.2.4.01.00- CREDORES DIVERSOS"</f>
        <v>2.2.4.01.00- CREDORES DIVERSOS</v>
      </c>
      <c r="B177" s="10">
        <v>15048557.66</v>
      </c>
      <c r="C177" s="10">
        <v>0</v>
      </c>
      <c r="D177" s="10">
        <v>15048557.66</v>
      </c>
    </row>
    <row r="178" spans="1:4" x14ac:dyDescent="0.25">
      <c r="A178" s="2" t="str">
        <f>"2.2.4.01.04- Provisão para Contingências Fiscais"</f>
        <v>2.2.4.01.04- Provisão para Contingências Fiscais</v>
      </c>
      <c r="B178" s="10">
        <v>14106702.720000001</v>
      </c>
      <c r="C178" s="10">
        <v>0</v>
      </c>
      <c r="D178" s="10">
        <v>14106702.720000001</v>
      </c>
    </row>
    <row r="179" spans="1:4" x14ac:dyDescent="0.25">
      <c r="A179" s="2" t="str">
        <f>"2.2.4.01.05- INSS Segurados"</f>
        <v>2.2.4.01.05- INSS Segurados</v>
      </c>
      <c r="B179" s="10">
        <v>941854.94</v>
      </c>
      <c r="C179" s="10">
        <v>0</v>
      </c>
      <c r="D179" s="10">
        <v>941854.94</v>
      </c>
    </row>
    <row r="180" spans="1:4" x14ac:dyDescent="0.25">
      <c r="A180" s="2" t="str">
        <f>"2.2.4.04.00- ACOES JUDICIAIS E TRABALHISTAS"</f>
        <v>2.2.4.04.00- ACOES JUDICIAIS E TRABALHISTAS</v>
      </c>
      <c r="B180" s="10">
        <v>20735229.82</v>
      </c>
      <c r="C180" s="10">
        <v>0</v>
      </c>
      <c r="D180" s="10">
        <v>20735229.82</v>
      </c>
    </row>
    <row r="181" spans="1:4" x14ac:dyDescent="0.25">
      <c r="A181" s="2" t="str">
        <f>"2.2.4.04.01- Acoes judiciais"</f>
        <v>2.2.4.04.01- Acoes judiciais</v>
      </c>
      <c r="B181" s="10">
        <v>16358367.48</v>
      </c>
      <c r="C181" s="10">
        <v>0</v>
      </c>
      <c r="D181" s="10">
        <v>16358367.48</v>
      </c>
    </row>
    <row r="182" spans="1:4" x14ac:dyDescent="0.25">
      <c r="A182" s="2" t="str">
        <f>"2.2.4.04.02- Acoes trabalhistas"</f>
        <v>2.2.4.04.02- Acoes trabalhistas</v>
      </c>
      <c r="B182" s="10">
        <v>4376862.34</v>
      </c>
      <c r="C182" s="10">
        <v>0</v>
      </c>
      <c r="D182" s="10">
        <v>4376862.34</v>
      </c>
    </row>
    <row r="183" spans="1:4" x14ac:dyDescent="0.25">
      <c r="A183" s="2" t="str">
        <f>"2.2.5.00.00- OBRIGACOES VINC.  AO PAMEH"</f>
        <v>2.2.5.00.00- OBRIGACOES VINC.  AO PAMEH</v>
      </c>
      <c r="B183" s="10">
        <v>4862880.83</v>
      </c>
      <c r="C183" s="10">
        <v>-94058.5</v>
      </c>
      <c r="D183" s="10">
        <v>4768822.33</v>
      </c>
    </row>
    <row r="184" spans="1:4" x14ac:dyDescent="0.25">
      <c r="A184" s="2" t="str">
        <f>"2.2.5.01.00- OBRIGACOES VINC.  AO PAMEH"</f>
        <v>2.2.5.01.00- OBRIGACOES VINC.  AO PAMEH</v>
      </c>
      <c r="B184" s="10">
        <v>4862880.83</v>
      </c>
      <c r="C184" s="10">
        <v>-94058.5</v>
      </c>
      <c r="D184" s="10">
        <v>4768822.33</v>
      </c>
    </row>
    <row r="185" spans="1:4" x14ac:dyDescent="0.25">
      <c r="A185" s="2" t="str">
        <f>"2.2.5.01.01- Resultado Exerc.Anteriores-PAMEH"</f>
        <v>2.2.5.01.01- Resultado Exerc.Anteriores-PAMEH</v>
      </c>
      <c r="B185" s="10">
        <v>3457128.18</v>
      </c>
      <c r="C185" s="10">
        <v>0</v>
      </c>
      <c r="D185" s="10">
        <v>3457128.18</v>
      </c>
    </row>
    <row r="186" spans="1:4" x14ac:dyDescent="0.25">
      <c r="A186" s="2" t="str">
        <f>"2.2.5.01.02- Resultado deste Exercicio-PAMEH"</f>
        <v>2.2.5.01.02- Resultado deste Exercicio-PAMEH</v>
      </c>
      <c r="B186" s="10">
        <v>-184189.12</v>
      </c>
      <c r="C186" s="10">
        <v>-94058.5</v>
      </c>
      <c r="D186" s="10">
        <v>-278247.62</v>
      </c>
    </row>
    <row r="187" spans="1:4" x14ac:dyDescent="0.25">
      <c r="A187" s="2" t="str">
        <f>"2.2.5.01.03- Ajuste Exercício Anterior - PAMEH"</f>
        <v>2.2.5.01.03- Ajuste Exercício Anterior - PAMEH</v>
      </c>
      <c r="B187" s="10">
        <v>1589941.77</v>
      </c>
      <c r="C187" s="10">
        <v>0</v>
      </c>
      <c r="D187" s="10">
        <v>1589941.77</v>
      </c>
    </row>
    <row r="188" spans="1:4" x14ac:dyDescent="0.25">
      <c r="A188" s="2" t="str">
        <f>"2.4.0.00.00- PATRIMONIO LIQUIDO"</f>
        <v>2.4.0.00.00- PATRIMONIO LIQUIDO</v>
      </c>
      <c r="B188" s="10">
        <v>-63911653.240000002</v>
      </c>
      <c r="C188" s="10">
        <v>-351.32</v>
      </c>
      <c r="D188" s="10">
        <v>-63912004.560000002</v>
      </c>
    </row>
    <row r="189" spans="1:4" x14ac:dyDescent="0.25">
      <c r="A189" s="2" t="str">
        <f>"2.4.1.00.00- CAPITAL SOCIAL"</f>
        <v>2.4.1.00.00- CAPITAL SOCIAL</v>
      </c>
      <c r="B189" s="10">
        <v>67418193.159999996</v>
      </c>
      <c r="C189" s="10">
        <v>0</v>
      </c>
      <c r="D189" s="10">
        <v>67418193.159999996</v>
      </c>
    </row>
    <row r="190" spans="1:4" x14ac:dyDescent="0.25">
      <c r="A190" s="2" t="str">
        <f>"2.4.1.02.00- CAPITAL REALIZADO"</f>
        <v>2.4.1.02.00- CAPITAL REALIZADO</v>
      </c>
      <c r="B190" s="10">
        <v>67418193.159999996</v>
      </c>
      <c r="C190" s="10">
        <v>0</v>
      </c>
      <c r="D190" s="10">
        <v>67418193.159999996</v>
      </c>
    </row>
    <row r="191" spans="1:4" x14ac:dyDescent="0.25">
      <c r="A191" s="2" t="str">
        <f>"2.4.1.02.01- Capital Subscrito"</f>
        <v>2.4.1.02.01- Capital Subscrito</v>
      </c>
      <c r="B191" s="10">
        <v>75000000</v>
      </c>
      <c r="C191" s="10">
        <v>0</v>
      </c>
      <c r="D191" s="10">
        <v>75000000</v>
      </c>
    </row>
    <row r="192" spans="1:4" x14ac:dyDescent="0.25">
      <c r="A192" s="2" t="str">
        <f>"2.4.1.02.04- Capital a Realizar"</f>
        <v>2.4.1.02.04- Capital a Realizar</v>
      </c>
      <c r="B192" s="10">
        <v>-7581806.8399999999</v>
      </c>
      <c r="C192" s="10">
        <v>0</v>
      </c>
      <c r="D192" s="10">
        <v>-7581806.8399999999</v>
      </c>
    </row>
    <row r="193" spans="1:4" x14ac:dyDescent="0.25">
      <c r="A193" s="2" t="str">
        <f>"2.4.3.00.00- RESULTADOS ACUMULADOS"</f>
        <v>2.4.3.00.00- RESULTADOS ACUMULADOS</v>
      </c>
      <c r="B193" s="10">
        <v>-131329846.40000001</v>
      </c>
      <c r="C193" s="10">
        <v>-351.32</v>
      </c>
      <c r="D193" s="10">
        <v>-131330197.72</v>
      </c>
    </row>
    <row r="194" spans="1:4" x14ac:dyDescent="0.25">
      <c r="A194" s="2" t="str">
        <f>"2.4.3.01.00- LUCROS/PREJUIZOS ACUMULADOS"</f>
        <v>2.4.3.01.00- LUCROS/PREJUIZOS ACUMULADOS</v>
      </c>
      <c r="B194" s="10">
        <v>-131329846.40000001</v>
      </c>
      <c r="C194" s="10">
        <v>-351.32</v>
      </c>
      <c r="D194" s="10">
        <v>-131330197.72</v>
      </c>
    </row>
    <row r="195" spans="1:4" x14ac:dyDescent="0.25">
      <c r="A195" s="2" t="str">
        <f>"2.4.3.01.01- Resultados de Exerc. Anteriores"</f>
        <v>2.4.3.01.01- Resultados de Exerc. Anteriores</v>
      </c>
      <c r="B195" s="10">
        <v>-131329846.40000001</v>
      </c>
      <c r="C195" s="10">
        <v>0</v>
      </c>
      <c r="D195" s="10">
        <v>-131329846.40000001</v>
      </c>
    </row>
    <row r="196" spans="1:4" x14ac:dyDescent="0.25">
      <c r="A196" s="2" t="str">
        <f>"2.4.3.01.03- Ajuste do Exercicio Anterior"</f>
        <v>2.4.3.01.03- Ajuste do Exercicio Anterior</v>
      </c>
      <c r="B196" s="10">
        <v>0</v>
      </c>
      <c r="C196" s="10">
        <v>-351.32</v>
      </c>
      <c r="D196" s="10">
        <v>-351.32</v>
      </c>
    </row>
    <row r="197" spans="1:4" x14ac:dyDescent="0.25">
      <c r="A197" s="2" t="str">
        <f>""</f>
        <v/>
      </c>
      <c r="B197" s="3" t="str">
        <f>""</f>
        <v/>
      </c>
      <c r="C197" s="3" t="str">
        <f>""</f>
        <v/>
      </c>
      <c r="D197" s="3" t="str">
        <f>""</f>
        <v/>
      </c>
    </row>
    <row r="198" spans="1:4" x14ac:dyDescent="0.25">
      <c r="A198" s="2" t="str">
        <f>""</f>
        <v/>
      </c>
      <c r="B198" s="3" t="str">
        <f>""</f>
        <v/>
      </c>
      <c r="C198" s="3" t="str">
        <f>""</f>
        <v/>
      </c>
      <c r="D198" s="3" t="str">
        <f>""</f>
        <v/>
      </c>
    </row>
    <row r="199" spans="1:4" x14ac:dyDescent="0.25">
      <c r="A199" s="2" t="str">
        <f>""</f>
        <v/>
      </c>
      <c r="B199" s="3" t="str">
        <f>""</f>
        <v/>
      </c>
      <c r="C199" s="3" t="str">
        <f>""</f>
        <v/>
      </c>
      <c r="D199" s="3" t="str">
        <f>""</f>
        <v/>
      </c>
    </row>
    <row r="200" spans="1:4" x14ac:dyDescent="0.25">
      <c r="A200" s="2" t="str">
        <f>""</f>
        <v/>
      </c>
      <c r="B200" s="3" t="str">
        <f>""</f>
        <v/>
      </c>
      <c r="C200" s="3" t="str">
        <f>""</f>
        <v/>
      </c>
      <c r="D200" s="3" t="str">
        <f>""</f>
        <v/>
      </c>
    </row>
    <row r="201" spans="1:4" x14ac:dyDescent="0.25">
      <c r="A201" s="2" t="str">
        <f>""</f>
        <v/>
      </c>
      <c r="B201" s="3" t="str">
        <f>""</f>
        <v/>
      </c>
      <c r="C201" s="3" t="str">
        <f>""</f>
        <v/>
      </c>
      <c r="D201" s="3" t="str">
        <f>""</f>
        <v/>
      </c>
    </row>
    <row r="202" spans="1:4" x14ac:dyDescent="0.25">
      <c r="A202" s="2" t="str">
        <f>""</f>
        <v/>
      </c>
      <c r="B202" s="3" t="str">
        <f>""</f>
        <v/>
      </c>
      <c r="C202" s="3" t="str">
        <f>""</f>
        <v/>
      </c>
      <c r="D202" s="3" t="str">
        <f>""</f>
        <v/>
      </c>
    </row>
    <row r="203" spans="1:4" x14ac:dyDescent="0.25">
      <c r="A203" s="2" t="str">
        <f>""</f>
        <v/>
      </c>
      <c r="B203" s="3" t="str">
        <f>""</f>
        <v/>
      </c>
      <c r="C203" s="3" t="str">
        <f>""</f>
        <v/>
      </c>
      <c r="D203" s="3" t="str">
        <f>""</f>
        <v/>
      </c>
    </row>
    <row r="204" spans="1:4" x14ac:dyDescent="0.25">
      <c r="A204" s="2" t="str">
        <f>"DESPESAS"</f>
        <v>DESPESAS</v>
      </c>
      <c r="B204" s="3" t="str">
        <f>""</f>
        <v/>
      </c>
      <c r="C204" s="3" t="str">
        <f>""</f>
        <v/>
      </c>
      <c r="D204" s="3" t="str">
        <f>""</f>
        <v/>
      </c>
    </row>
    <row r="205" spans="1:4" x14ac:dyDescent="0.25">
      <c r="A205" s="2" t="str">
        <f>"3.0.0.00.00- DESPESAS"</f>
        <v>3.0.0.00.00- DESPESAS</v>
      </c>
      <c r="B205" s="10">
        <v>20387310.219999999</v>
      </c>
      <c r="C205" s="10">
        <v>11673038.51</v>
      </c>
      <c r="D205" s="10">
        <v>32060348.73</v>
      </c>
    </row>
    <row r="206" spans="1:4" x14ac:dyDescent="0.25">
      <c r="A206" s="2" t="str">
        <f>"3.1.0.00.00- DESPESAS OPERACIONAIS"</f>
        <v>3.1.0.00.00- DESPESAS OPERACIONAIS</v>
      </c>
      <c r="B206" s="10">
        <v>20387310.219999999</v>
      </c>
      <c r="C206" s="10">
        <v>11673038.51</v>
      </c>
      <c r="D206" s="10">
        <v>32060348.73</v>
      </c>
    </row>
    <row r="207" spans="1:4" x14ac:dyDescent="0.25">
      <c r="A207" s="2" t="str">
        <f>"3.1.1.00.00- SALARIOS ADICIONAIS E HONORARIOS"</f>
        <v>3.1.1.00.00- SALARIOS ADICIONAIS E HONORARIOS</v>
      </c>
      <c r="B207" s="10">
        <v>10457031.779999999</v>
      </c>
      <c r="C207" s="10">
        <v>6268791.5499999998</v>
      </c>
      <c r="D207" s="10">
        <v>16725823.33</v>
      </c>
    </row>
    <row r="208" spans="1:4" x14ac:dyDescent="0.25">
      <c r="A208" s="2" t="str">
        <f>"3.1.1.00.01- Honorarios diretoria"</f>
        <v>3.1.1.00.01- Honorarios diretoria</v>
      </c>
      <c r="B208" s="10">
        <v>133863.70000000001</v>
      </c>
      <c r="C208" s="10">
        <v>80035.06</v>
      </c>
      <c r="D208" s="10">
        <v>213898.76</v>
      </c>
    </row>
    <row r="209" spans="1:4" x14ac:dyDescent="0.25">
      <c r="A209" s="2" t="str">
        <f>"3.1.1.00.02- Honorarios conselho fiscal"</f>
        <v>3.1.1.00.02- Honorarios conselho fiscal</v>
      </c>
      <c r="B209" s="10">
        <v>10631.82</v>
      </c>
      <c r="C209" s="10">
        <v>5311.5</v>
      </c>
      <c r="D209" s="10">
        <v>15943.32</v>
      </c>
    </row>
    <row r="210" spans="1:4" x14ac:dyDescent="0.25">
      <c r="A210" s="2" t="str">
        <f>"3.1.1.00.03- Honorarios cons. administracao"</f>
        <v>3.1.1.00.03- Honorarios cons. administracao</v>
      </c>
      <c r="B210" s="10">
        <v>21245.02</v>
      </c>
      <c r="C210" s="10">
        <v>10613.71</v>
      </c>
      <c r="D210" s="10">
        <v>31858.73</v>
      </c>
    </row>
    <row r="211" spans="1:4" x14ac:dyDescent="0.25">
      <c r="A211" s="2" t="str">
        <f>"3.1.1.00.04- Salarios e adicionais"</f>
        <v>3.1.1.00.04- Salarios e adicionais</v>
      </c>
      <c r="B211" s="10">
        <v>8447826.9399999995</v>
      </c>
      <c r="C211" s="10">
        <v>5066093.41</v>
      </c>
      <c r="D211" s="10">
        <v>13513920.35</v>
      </c>
    </row>
    <row r="212" spans="1:4" x14ac:dyDescent="0.25">
      <c r="A212" s="2" t="str">
        <f>"3.1.1.00.05- Ferias e abono pecuniario"</f>
        <v>3.1.1.00.05- Ferias e abono pecuniario</v>
      </c>
      <c r="B212" s="10">
        <v>1066679.92</v>
      </c>
      <c r="C212" s="10">
        <v>670151.73</v>
      </c>
      <c r="D212" s="10">
        <v>1736831.65</v>
      </c>
    </row>
    <row r="213" spans="1:4" x14ac:dyDescent="0.25">
      <c r="A213" s="2" t="str">
        <f>"3.1.1.00.06- Decimo terceiro salario"</f>
        <v>3.1.1.00.06- Decimo terceiro salario</v>
      </c>
      <c r="B213" s="10">
        <v>736392.23</v>
      </c>
      <c r="C213" s="10">
        <v>420556.12</v>
      </c>
      <c r="D213" s="10">
        <v>1156948.3500000001</v>
      </c>
    </row>
    <row r="214" spans="1:4" x14ac:dyDescent="0.25">
      <c r="A214" s="2" t="str">
        <f>"3.1.1.00.07- Indenizacoes trabalhistas"</f>
        <v>3.1.1.00.07- Indenizacoes trabalhistas</v>
      </c>
      <c r="B214" s="10">
        <v>12878.29</v>
      </c>
      <c r="C214" s="10">
        <v>3145.35</v>
      </c>
      <c r="D214" s="10">
        <v>16023.64</v>
      </c>
    </row>
    <row r="215" spans="1:4" x14ac:dyDescent="0.25">
      <c r="A215" s="2" t="str">
        <f>"3.1.1.00.08- Bolsas de estagiario"</f>
        <v>3.1.1.00.08- Bolsas de estagiario</v>
      </c>
      <c r="B215" s="10">
        <v>27513.86</v>
      </c>
      <c r="C215" s="10">
        <v>12884.67</v>
      </c>
      <c r="D215" s="10">
        <v>40398.53</v>
      </c>
    </row>
    <row r="216" spans="1:4" x14ac:dyDescent="0.25">
      <c r="A216" s="2" t="str">
        <f>"3.1.2.01.00- ENCARGOS SOCIAIS"</f>
        <v>3.1.2.01.00- ENCARGOS SOCIAIS</v>
      </c>
      <c r="B216" s="10">
        <v>3638116.31</v>
      </c>
      <c r="C216" s="10">
        <v>2237355.41</v>
      </c>
      <c r="D216" s="10">
        <v>5875471.7199999997</v>
      </c>
    </row>
    <row r="217" spans="1:4" x14ac:dyDescent="0.25">
      <c r="A217" s="2" t="str">
        <f>"3.1.2.01.01- INSS"</f>
        <v>3.1.2.01.01- INSS</v>
      </c>
      <c r="B217" s="10">
        <v>2807589.07</v>
      </c>
      <c r="C217" s="10">
        <v>1740347.63</v>
      </c>
      <c r="D217" s="10">
        <v>4547936.7</v>
      </c>
    </row>
    <row r="218" spans="1:4" x14ac:dyDescent="0.25">
      <c r="A218" s="2" t="str">
        <f>"3.1.2.01.02- FGTS"</f>
        <v>3.1.2.01.02- FGTS</v>
      </c>
      <c r="B218" s="10">
        <v>830527.24</v>
      </c>
      <c r="C218" s="10">
        <v>497007.78</v>
      </c>
      <c r="D218" s="10">
        <v>1327535.02</v>
      </c>
    </row>
    <row r="219" spans="1:4" x14ac:dyDescent="0.25">
      <c r="A219" s="2" t="str">
        <f>"3.1.2.02.00- OUTRAS DESPESAS COM PESSOAL"</f>
        <v>3.1.2.02.00- OUTRAS DESPESAS COM PESSOAL</v>
      </c>
      <c r="B219" s="10">
        <v>1923183.08</v>
      </c>
      <c r="C219" s="10">
        <v>980756.84</v>
      </c>
      <c r="D219" s="10">
        <v>2903939.92</v>
      </c>
    </row>
    <row r="220" spans="1:4" x14ac:dyDescent="0.25">
      <c r="A220" s="2" t="str">
        <f>"3.1.2.02.01- Seguros de Vida"</f>
        <v>3.1.2.02.01- Seguros de Vida</v>
      </c>
      <c r="B220" s="10">
        <v>38240.47</v>
      </c>
      <c r="C220" s="10">
        <v>23197.09</v>
      </c>
      <c r="D220" s="10">
        <v>61437.56</v>
      </c>
    </row>
    <row r="221" spans="1:4" x14ac:dyDescent="0.25">
      <c r="A221" s="2" t="str">
        <f>"3.1.2.02.02- Ass. Medica Odontologica"</f>
        <v>3.1.2.02.02- Ass. Medica Odontologica</v>
      </c>
      <c r="B221" s="10">
        <v>481760.43</v>
      </c>
      <c r="C221" s="10">
        <v>232222.79</v>
      </c>
      <c r="D221" s="10">
        <v>713983.22</v>
      </c>
    </row>
    <row r="222" spans="1:4" x14ac:dyDescent="0.25">
      <c r="A222" s="2" t="str">
        <f>"3.1.2.02.03- Vale Transporte"</f>
        <v>3.1.2.02.03- Vale Transporte</v>
      </c>
      <c r="B222" s="10">
        <v>189525.85</v>
      </c>
      <c r="C222" s="10">
        <v>113749.94</v>
      </c>
      <c r="D222" s="10">
        <v>303275.78999999998</v>
      </c>
    </row>
    <row r="223" spans="1:4" x14ac:dyDescent="0.25">
      <c r="A223" s="2" t="str">
        <f>"3.1.2.02.04- Vale Refeicao/Alimentacao"</f>
        <v>3.1.2.02.04- Vale Refeicao/Alimentacao</v>
      </c>
      <c r="B223" s="10">
        <v>1167184.51</v>
      </c>
      <c r="C223" s="10">
        <v>586104.62</v>
      </c>
      <c r="D223" s="10">
        <v>1753289.13</v>
      </c>
    </row>
    <row r="224" spans="1:4" x14ac:dyDescent="0.25">
      <c r="A224" s="2" t="str">
        <f>"3.1.2.02.05- Compl. Auxilio Doenca"</f>
        <v>3.1.2.02.05- Compl. Auxilio Doenca</v>
      </c>
      <c r="B224" s="10">
        <v>7495.16</v>
      </c>
      <c r="C224" s="10">
        <v>5063.82</v>
      </c>
      <c r="D224" s="10">
        <v>12558.98</v>
      </c>
    </row>
    <row r="225" spans="1:4" x14ac:dyDescent="0.25">
      <c r="A225" s="2" t="str">
        <f>"3.1.2.02.06- Cursos e Treinamentos"</f>
        <v>3.1.2.02.06- Cursos e Treinamentos</v>
      </c>
      <c r="B225" s="10">
        <v>590</v>
      </c>
      <c r="C225" s="10">
        <v>0</v>
      </c>
      <c r="D225" s="10">
        <v>590</v>
      </c>
    </row>
    <row r="226" spans="1:4" x14ac:dyDescent="0.25">
      <c r="A226" s="2" t="str">
        <f>"3.1.2.02.07- Auxilio Creche"</f>
        <v>3.1.2.02.07- Auxilio Creche</v>
      </c>
      <c r="B226" s="10">
        <v>38386.660000000003</v>
      </c>
      <c r="C226" s="10">
        <v>20418.580000000002</v>
      </c>
      <c r="D226" s="10">
        <v>58805.24</v>
      </c>
    </row>
    <row r="227" spans="1:4" x14ac:dyDescent="0.25">
      <c r="A227" s="2" t="str">
        <f>"3.1.3.00.00- MATERIAIS"</f>
        <v>3.1.3.00.00- MATERIAIS</v>
      </c>
      <c r="B227" s="10">
        <v>133726.82</v>
      </c>
      <c r="C227" s="10">
        <v>75128.639999999999</v>
      </c>
      <c r="D227" s="10">
        <v>208855.46</v>
      </c>
    </row>
    <row r="228" spans="1:4" x14ac:dyDescent="0.25">
      <c r="A228" s="2" t="str">
        <f>"3.1.3.00.05- Placas/acessorios/mat.fixacao"</f>
        <v>3.1.3.00.05- Placas/acessorios/mat.fixacao</v>
      </c>
      <c r="B228" s="10">
        <v>12705</v>
      </c>
      <c r="C228" s="10">
        <v>0</v>
      </c>
      <c r="D228" s="10">
        <v>12705</v>
      </c>
    </row>
    <row r="229" spans="1:4" x14ac:dyDescent="0.25">
      <c r="A229" s="2" t="str">
        <f>"3.1.3.00.08- Material seguranca e uniformes"</f>
        <v>3.1.3.00.08- Material seguranca e uniformes</v>
      </c>
      <c r="B229" s="10">
        <v>545.09</v>
      </c>
      <c r="C229" s="10">
        <v>168.7</v>
      </c>
      <c r="D229" s="10">
        <v>713.79</v>
      </c>
    </row>
    <row r="230" spans="1:4" x14ac:dyDescent="0.25">
      <c r="A230" s="2" t="str">
        <f>"3.1.3.00.09- Material limp/conserv/copa/cozin"</f>
        <v>3.1.3.00.09- Material limp/conserv/copa/cozin</v>
      </c>
      <c r="B230" s="10">
        <v>22800.09</v>
      </c>
      <c r="C230" s="10">
        <v>12066.3</v>
      </c>
      <c r="D230" s="10">
        <v>34866.39</v>
      </c>
    </row>
    <row r="231" spans="1:4" x14ac:dyDescent="0.25">
      <c r="A231" s="2" t="str">
        <f>"3.1.3.00.10- Impressos e material de escritorio"</f>
        <v>3.1.3.00.10- Impressos e material de escritorio</v>
      </c>
      <c r="B231" s="10">
        <v>27862.39</v>
      </c>
      <c r="C231" s="10">
        <v>17998.18</v>
      </c>
      <c r="D231" s="10">
        <v>45860.57</v>
      </c>
    </row>
    <row r="232" spans="1:4" x14ac:dyDescent="0.25">
      <c r="A232" s="2" t="str">
        <f>"3.1.3.00.11- Materiais manut. inst. prediais"</f>
        <v>3.1.3.00.11- Materiais manut. inst. prediais</v>
      </c>
      <c r="B232" s="10">
        <v>11065.13</v>
      </c>
      <c r="C232" s="10">
        <v>8218.1</v>
      </c>
      <c r="D232" s="10">
        <v>19283.23</v>
      </c>
    </row>
    <row r="233" spans="1:4" x14ac:dyDescent="0.25">
      <c r="A233" s="2" t="str">
        <f>"3.1.3.00.12- Carnes estacionamento rotativo"</f>
        <v>3.1.3.00.12- Carnes estacionamento rotativo</v>
      </c>
      <c r="B233" s="10">
        <v>47425.95</v>
      </c>
      <c r="C233" s="10">
        <v>31853.25</v>
      </c>
      <c r="D233" s="10">
        <v>79279.199999999997</v>
      </c>
    </row>
    <row r="234" spans="1:4" x14ac:dyDescent="0.25">
      <c r="A234" s="2" t="str">
        <f>"3.1.3.00.15- Materiais e supriment informatic"</f>
        <v>3.1.3.00.15- Materiais e supriment informatic</v>
      </c>
      <c r="B234" s="10">
        <v>8360.5499999999993</v>
      </c>
      <c r="C234" s="10">
        <v>4185.12</v>
      </c>
      <c r="D234" s="10">
        <v>12545.67</v>
      </c>
    </row>
    <row r="235" spans="1:4" x14ac:dyDescent="0.25">
      <c r="A235" s="2" t="str">
        <f>"3.1.3.00.17- Comb./lubrificantes"</f>
        <v>3.1.3.00.17- Comb./lubrificantes</v>
      </c>
      <c r="B235" s="10">
        <v>0</v>
      </c>
      <c r="C235" s="10">
        <v>191.11</v>
      </c>
      <c r="D235" s="10">
        <v>191.11</v>
      </c>
    </row>
    <row r="236" spans="1:4" x14ac:dyDescent="0.25">
      <c r="A236" s="2" t="str">
        <f>"3.1.3.00.19- Mat.man.cons.veiculos"</f>
        <v>3.1.3.00.19- Mat.man.cons.veiculos</v>
      </c>
      <c r="B236" s="10">
        <v>0</v>
      </c>
      <c r="C236" s="10">
        <v>364</v>
      </c>
      <c r="D236" s="10">
        <v>364</v>
      </c>
    </row>
    <row r="237" spans="1:4" x14ac:dyDescent="0.25">
      <c r="A237" s="2" t="str">
        <f>"3.1.3.00.99- Outros materiais"</f>
        <v>3.1.3.00.99- Outros materiais</v>
      </c>
      <c r="B237" s="10">
        <v>2962.62</v>
      </c>
      <c r="C237" s="10">
        <v>83.88</v>
      </c>
      <c r="D237" s="10">
        <v>3046.5</v>
      </c>
    </row>
    <row r="238" spans="1:4" x14ac:dyDescent="0.25">
      <c r="A238" s="2" t="str">
        <f>"3.1.4.00.00- SERVICOS PRESTADOS POR TERCEIROS"</f>
        <v>3.1.4.00.00- SERVICOS PRESTADOS POR TERCEIROS</v>
      </c>
      <c r="B238" s="10">
        <v>3306669.51</v>
      </c>
      <c r="C238" s="10">
        <v>1501713.16</v>
      </c>
      <c r="D238" s="10">
        <v>4808382.67</v>
      </c>
    </row>
    <row r="239" spans="1:4" x14ac:dyDescent="0.25">
      <c r="A239" s="2" t="str">
        <f>"3.1.4.00.01- Consultoria"</f>
        <v>3.1.4.00.01- Consultoria</v>
      </c>
      <c r="B239" s="10">
        <v>0</v>
      </c>
      <c r="C239" s="10">
        <v>26600</v>
      </c>
      <c r="D239" s="10">
        <v>26600</v>
      </c>
    </row>
    <row r="240" spans="1:4" x14ac:dyDescent="0.25">
      <c r="A240" s="2" t="str">
        <f>"3.1.4.00.03- Locacao de equipamentos"</f>
        <v>3.1.4.00.03- Locacao de equipamentos</v>
      </c>
      <c r="B240" s="10">
        <v>6705.7</v>
      </c>
      <c r="C240" s="10">
        <v>0</v>
      </c>
      <c r="D240" s="10">
        <v>6705.7</v>
      </c>
    </row>
    <row r="241" spans="1:4" x14ac:dyDescent="0.25">
      <c r="A241" s="2" t="str">
        <f>"3.1.4.00.08- Servicos de auditoria"</f>
        <v>3.1.4.00.08- Servicos de auditoria</v>
      </c>
      <c r="B241" s="10">
        <v>8166.64</v>
      </c>
      <c r="C241" s="10">
        <v>4083.32</v>
      </c>
      <c r="D241" s="10">
        <v>12249.96</v>
      </c>
    </row>
    <row r="242" spans="1:4" x14ac:dyDescent="0.25">
      <c r="A242" s="2" t="str">
        <f>"3.1.4.00.10- Mao de obra contratada"</f>
        <v>3.1.4.00.10- Mao de obra contratada</v>
      </c>
      <c r="B242" s="10">
        <v>247481.77</v>
      </c>
      <c r="C242" s="10">
        <v>115593.35</v>
      </c>
      <c r="D242" s="10">
        <v>363075.12</v>
      </c>
    </row>
    <row r="243" spans="1:4" x14ac:dyDescent="0.25">
      <c r="A243" s="2" t="str">
        <f>"3.1.4.00.13- Publicidade e divulgacao"</f>
        <v>3.1.4.00.13- Publicidade e divulgacao</v>
      </c>
      <c r="B243" s="10">
        <v>44760.4</v>
      </c>
      <c r="C243" s="10">
        <v>18576.95</v>
      </c>
      <c r="D243" s="10">
        <v>63337.35</v>
      </c>
    </row>
    <row r="244" spans="1:4" x14ac:dyDescent="0.25">
      <c r="A244" s="2" t="str">
        <f>"3.1.4.00.14- Informatica-serv. e/ou locacao"</f>
        <v>3.1.4.00.14- Informatica-serv. e/ou locacao</v>
      </c>
      <c r="B244" s="10">
        <v>108241</v>
      </c>
      <c r="C244" s="10">
        <v>56495.27</v>
      </c>
      <c r="D244" s="10">
        <v>164736.26999999999</v>
      </c>
    </row>
    <row r="245" spans="1:4" x14ac:dyDescent="0.25">
      <c r="A245" s="2" t="str">
        <f>"3.1.4.00.15- Outros serv. prestados - PF"</f>
        <v>3.1.4.00.15- Outros serv. prestados - PF</v>
      </c>
      <c r="B245" s="10">
        <v>14188.02</v>
      </c>
      <c r="C245" s="10">
        <v>9927.59</v>
      </c>
      <c r="D245" s="10">
        <v>24115.61</v>
      </c>
    </row>
    <row r="246" spans="1:4" x14ac:dyDescent="0.25">
      <c r="A246" s="2" t="str">
        <f>"3.1.4.00.16- Outros serv. Prestados - PJ"</f>
        <v>3.1.4.00.16- Outros serv. Prestados - PJ</v>
      </c>
      <c r="B246" s="10">
        <v>77204.899999999994</v>
      </c>
      <c r="C246" s="10">
        <v>23084.55</v>
      </c>
      <c r="D246" s="10">
        <v>100289.45</v>
      </c>
    </row>
    <row r="247" spans="1:4" x14ac:dyDescent="0.25">
      <c r="A247" s="2" t="str">
        <f>"3.1.4.00.17- Servicos postais"</f>
        <v>3.1.4.00.17- Servicos postais</v>
      </c>
      <c r="B247" s="10">
        <v>12660.03</v>
      </c>
      <c r="C247" s="10">
        <v>2782.96</v>
      </c>
      <c r="D247" s="10">
        <v>15442.99</v>
      </c>
    </row>
    <row r="248" spans="1:4" x14ac:dyDescent="0.25">
      <c r="A248" s="2" t="str">
        <f>"3.1.4.00.18- INSS s/servicos de terceiros"</f>
        <v>3.1.4.00.18- INSS s/servicos de terceiros</v>
      </c>
      <c r="B248" s="10">
        <v>4484.46</v>
      </c>
      <c r="C248" s="10">
        <v>2242.21</v>
      </c>
      <c r="D248" s="10">
        <v>6726.67</v>
      </c>
    </row>
    <row r="249" spans="1:4" x14ac:dyDescent="0.25">
      <c r="A249" s="2" t="str">
        <f>"3.1.4.00.19- Manut. imoveis/instal/equip.oper"</f>
        <v>3.1.4.00.19- Manut. imoveis/instal/equip.oper</v>
      </c>
      <c r="B249" s="10">
        <v>53631.55</v>
      </c>
      <c r="C249" s="10">
        <v>95299.49</v>
      </c>
      <c r="D249" s="10">
        <v>148931.04</v>
      </c>
    </row>
    <row r="250" spans="1:4" x14ac:dyDescent="0.25">
      <c r="A250" s="2" t="str">
        <f>"3.1.4.00.21- Manut. moveis e equip. Escritorio"</f>
        <v>3.1.4.00.21- Manut. moveis e equip. Escritorio</v>
      </c>
      <c r="B250" s="10">
        <v>1650.55</v>
      </c>
      <c r="C250" s="10">
        <v>0</v>
      </c>
      <c r="D250" s="10">
        <v>1650.55</v>
      </c>
    </row>
    <row r="251" spans="1:4" x14ac:dyDescent="0.25">
      <c r="A251" s="2" t="str">
        <f>"3.1.4.00.24- Loc.serv.mensageiro"</f>
        <v>3.1.4.00.24- Loc.serv.mensageiro</v>
      </c>
      <c r="B251" s="10">
        <v>12516.94</v>
      </c>
      <c r="C251" s="10">
        <v>6258.47</v>
      </c>
      <c r="D251" s="10">
        <v>18775.41</v>
      </c>
    </row>
    <row r="252" spans="1:4" x14ac:dyDescent="0.25">
      <c r="A252" s="2" t="str">
        <f>"3.1.4.00.26- Serv.limp.conserv."</f>
        <v>3.1.4.00.26- Serv.limp.conserv.</v>
      </c>
      <c r="B252" s="10">
        <v>2735147.72</v>
      </c>
      <c r="C252" s="10">
        <v>1150987.29</v>
      </c>
      <c r="D252" s="10">
        <v>3886135.01</v>
      </c>
    </row>
    <row r="253" spans="1:4" x14ac:dyDescent="0.25">
      <c r="A253" s="2" t="str">
        <f>"3.1.4.00.34- Comissao s/venda rotativo"</f>
        <v>3.1.4.00.34- Comissao s/venda rotativo</v>
      </c>
      <c r="B253" s="10">
        <v>131777.29</v>
      </c>
      <c r="C253" s="10">
        <v>65271.66</v>
      </c>
      <c r="D253" s="10">
        <v>197048.95</v>
      </c>
    </row>
    <row r="254" spans="1:4" x14ac:dyDescent="0.25">
      <c r="A254" s="2" t="str">
        <f>"3.1.4.00.36- (-) Desconto ISSQN conf Lei 9145 serv. P"</f>
        <v>3.1.4.00.36- (-) Desconto ISSQN conf Lei 9145 serv. P</v>
      </c>
      <c r="B254" s="10">
        <v>-151947.46</v>
      </c>
      <c r="C254" s="10">
        <v>-75489.95</v>
      </c>
      <c r="D254" s="10">
        <v>-227437.41</v>
      </c>
    </row>
    <row r="255" spans="1:4" x14ac:dyDescent="0.25">
      <c r="A255" s="2" t="str">
        <f>"3.1.5.00.00- TARIFAS PUBLICAS"</f>
        <v>3.1.5.00.00- TARIFAS PUBLICAS</v>
      </c>
      <c r="B255" s="10">
        <v>230081.22</v>
      </c>
      <c r="C255" s="10">
        <v>203077.78</v>
      </c>
      <c r="D255" s="10">
        <v>433159</v>
      </c>
    </row>
    <row r="256" spans="1:4" x14ac:dyDescent="0.25">
      <c r="A256" s="2" t="str">
        <f>"3.1.5.00.02- Energia eletrica"</f>
        <v>3.1.5.00.02- Energia eletrica</v>
      </c>
      <c r="B256" s="10">
        <v>164585.19</v>
      </c>
      <c r="C256" s="10">
        <v>171983.9</v>
      </c>
      <c r="D256" s="10">
        <v>336569.09</v>
      </c>
    </row>
    <row r="257" spans="1:4" x14ac:dyDescent="0.25">
      <c r="A257" s="2" t="str">
        <f>"3.1.5.00.03- Telefone"</f>
        <v>3.1.5.00.03- Telefone</v>
      </c>
      <c r="B257" s="10">
        <v>65496.03</v>
      </c>
      <c r="C257" s="10">
        <v>31093.88</v>
      </c>
      <c r="D257" s="10">
        <v>96589.91</v>
      </c>
    </row>
    <row r="258" spans="1:4" x14ac:dyDescent="0.25">
      <c r="A258" s="2" t="str">
        <f>"3.1.6.00.00- DESPESAS TRIBUTARIAS"</f>
        <v>3.1.6.00.00- DESPESAS TRIBUTARIAS</v>
      </c>
      <c r="B258" s="10">
        <v>486697.95</v>
      </c>
      <c r="C258" s="10">
        <v>234382.37</v>
      </c>
      <c r="D258" s="10">
        <v>721080.31999999995</v>
      </c>
    </row>
    <row r="259" spans="1:4" x14ac:dyDescent="0.25">
      <c r="A259" s="2" t="str">
        <f>"3.1.6.00.03- IOF"</f>
        <v>3.1.6.00.03- IOF</v>
      </c>
      <c r="B259" s="10">
        <v>1100.01</v>
      </c>
      <c r="C259" s="10">
        <v>0</v>
      </c>
      <c r="D259" s="10">
        <v>1100.01</v>
      </c>
    </row>
    <row r="260" spans="1:4" x14ac:dyDescent="0.25">
      <c r="A260" s="2" t="str">
        <f>"3.1.6.00.06- PIS"</f>
        <v>3.1.6.00.06- PIS</v>
      </c>
      <c r="B260" s="10">
        <v>71105.429999999993</v>
      </c>
      <c r="C260" s="10">
        <v>40753.85</v>
      </c>
      <c r="D260" s="10">
        <v>111859.28</v>
      </c>
    </row>
    <row r="261" spans="1:4" x14ac:dyDescent="0.25">
      <c r="A261" s="2" t="str">
        <f>"3.1.6.00.07- COFINS"</f>
        <v>3.1.6.00.07- COFINS</v>
      </c>
      <c r="B261" s="10">
        <v>327515.95</v>
      </c>
      <c r="C261" s="10">
        <v>187714.69</v>
      </c>
      <c r="D261" s="10">
        <v>515230.64</v>
      </c>
    </row>
    <row r="262" spans="1:4" x14ac:dyDescent="0.25">
      <c r="A262" s="2" t="str">
        <f>"3.1.6.00.10- ISS s/faturamento"</f>
        <v>3.1.6.00.10- ISS s/faturamento</v>
      </c>
      <c r="B262" s="10">
        <v>4107.13</v>
      </c>
      <c r="C262" s="10">
        <v>1804.24</v>
      </c>
      <c r="D262" s="10">
        <v>5911.37</v>
      </c>
    </row>
    <row r="263" spans="1:4" x14ac:dyDescent="0.25">
      <c r="A263" s="2" t="str">
        <f>"3.1.6.00.11- Custas/despesas judiciais"</f>
        <v>3.1.6.00.11- Custas/despesas judiciais</v>
      </c>
      <c r="B263" s="10">
        <v>60</v>
      </c>
      <c r="C263" s="10">
        <v>0</v>
      </c>
      <c r="D263" s="10">
        <v>60</v>
      </c>
    </row>
    <row r="264" spans="1:4" x14ac:dyDescent="0.25">
      <c r="A264" s="2" t="str">
        <f>"3.1.6.00.14- Contrib.entid.classe"</f>
        <v>3.1.6.00.14- Contrib.entid.classe</v>
      </c>
      <c r="B264" s="10">
        <v>80188.14</v>
      </c>
      <c r="C264" s="10">
        <v>529.95000000000005</v>
      </c>
      <c r="D264" s="10">
        <v>80718.09</v>
      </c>
    </row>
    <row r="265" spans="1:4" x14ac:dyDescent="0.25">
      <c r="A265" s="2" t="str">
        <f>"3.1.6.00.15- INSS Serv.terceiros"</f>
        <v>3.1.6.00.15- INSS Serv.terceiros</v>
      </c>
      <c r="B265" s="10">
        <v>1142.4100000000001</v>
      </c>
      <c r="C265" s="10">
        <v>1695.19</v>
      </c>
      <c r="D265" s="10">
        <v>2837.6</v>
      </c>
    </row>
    <row r="266" spans="1:4" x14ac:dyDescent="0.25">
      <c r="A266" s="2" t="str">
        <f>"3.1.6.00.17- PIS s/ receitas financeiras"</f>
        <v>3.1.6.00.17- PIS s/ receitas financeiras</v>
      </c>
      <c r="B266" s="10">
        <v>206.72</v>
      </c>
      <c r="C266" s="10">
        <v>263.42</v>
      </c>
      <c r="D266" s="10">
        <v>470.14</v>
      </c>
    </row>
    <row r="267" spans="1:4" x14ac:dyDescent="0.25">
      <c r="A267" s="2" t="str">
        <f>"3.1.6.00.18- Cofins s/ receitas financeiras"</f>
        <v>3.1.6.00.18- Cofins s/ receitas financeiras</v>
      </c>
      <c r="B267" s="10">
        <v>1272.1600000000001</v>
      </c>
      <c r="C267" s="10">
        <v>1621.03</v>
      </c>
      <c r="D267" s="10">
        <v>2893.19</v>
      </c>
    </row>
    <row r="268" spans="1:4" x14ac:dyDescent="0.25">
      <c r="A268" s="2" t="str">
        <f>"3.1.7.00.00- DESPESAS FINANCEIRAS"</f>
        <v>3.1.7.00.00- DESPESAS FINANCEIRAS</v>
      </c>
      <c r="B268" s="10">
        <v>5854.08</v>
      </c>
      <c r="C268" s="10">
        <v>2395.2199999999998</v>
      </c>
      <c r="D268" s="10">
        <v>8249.2999999999993</v>
      </c>
    </row>
    <row r="269" spans="1:4" x14ac:dyDescent="0.25">
      <c r="A269" s="2" t="str">
        <f>"3.1.7.01.02- Despesas bancarias"</f>
        <v>3.1.7.01.02- Despesas bancarias</v>
      </c>
      <c r="B269" s="10">
        <v>5854.08</v>
      </c>
      <c r="C269" s="10">
        <v>2395.2199999999998</v>
      </c>
      <c r="D269" s="10">
        <v>8249.2999999999993</v>
      </c>
    </row>
    <row r="270" spans="1:4" x14ac:dyDescent="0.25">
      <c r="A270" s="2" t="str">
        <f>"3.1.8.00.00- OUTRAS DESPESAS"</f>
        <v>3.1.8.00.00- OUTRAS DESPESAS</v>
      </c>
      <c r="B270" s="10">
        <v>205949.47</v>
      </c>
      <c r="C270" s="10">
        <v>169437.54</v>
      </c>
      <c r="D270" s="10">
        <v>375387.01</v>
      </c>
    </row>
    <row r="271" spans="1:4" x14ac:dyDescent="0.25">
      <c r="A271" s="2" t="str">
        <f>"3.1.8.00.01- Despesas de viagem"</f>
        <v>3.1.8.00.01- Despesas de viagem</v>
      </c>
      <c r="B271" s="10">
        <v>1050</v>
      </c>
      <c r="C271" s="10">
        <v>4735.96</v>
      </c>
      <c r="D271" s="10">
        <v>5785.96</v>
      </c>
    </row>
    <row r="272" spans="1:4" x14ac:dyDescent="0.25">
      <c r="A272" s="2" t="str">
        <f>"3.1.8.00.05- Depreciacao/amort"</f>
        <v>3.1.8.00.05- Depreciacao/amort</v>
      </c>
      <c r="B272" s="10">
        <v>47788.79</v>
      </c>
      <c r="C272" s="10">
        <v>23517.7</v>
      </c>
      <c r="D272" s="10">
        <v>71306.490000000005</v>
      </c>
    </row>
    <row r="273" spans="1:4" x14ac:dyDescent="0.25">
      <c r="A273" s="2" t="str">
        <f>"3.1.8.00.06- Seguros bens moveis e imoveis"</f>
        <v>3.1.8.00.06- Seguros bens moveis e imoveis</v>
      </c>
      <c r="B273" s="10">
        <v>1603.58</v>
      </c>
      <c r="C273" s="10">
        <v>717.59</v>
      </c>
      <c r="D273" s="10">
        <v>2321.17</v>
      </c>
    </row>
    <row r="274" spans="1:4" x14ac:dyDescent="0.25">
      <c r="A274" s="2" t="str">
        <f>"3.1.8.00.08- Alugueis e condominio"</f>
        <v>3.1.8.00.08- Alugueis e condominio</v>
      </c>
      <c r="B274" s="10">
        <v>10143.620000000001</v>
      </c>
      <c r="C274" s="10">
        <v>5071.8100000000004</v>
      </c>
      <c r="D274" s="10">
        <v>15215.43</v>
      </c>
    </row>
    <row r="275" spans="1:4" x14ac:dyDescent="0.25">
      <c r="A275" s="2" t="str">
        <f>"3.1.8.00.17- Gastos com eventos e promocoes"</f>
        <v>3.1.8.00.17- Gastos com eventos e promocoes</v>
      </c>
      <c r="B275" s="10">
        <v>37547.550000000003</v>
      </c>
      <c r="C275" s="10">
        <v>86497.55</v>
      </c>
      <c r="D275" s="10">
        <v>124045.1</v>
      </c>
    </row>
    <row r="276" spans="1:4" x14ac:dyDescent="0.25">
      <c r="A276" s="2" t="str">
        <f>"3.1.8.00.18- Provisao para perdas"</f>
        <v>3.1.8.00.18- Provisao para perdas</v>
      </c>
      <c r="B276" s="10">
        <v>97342.96</v>
      </c>
      <c r="C276" s="10">
        <v>40484.92</v>
      </c>
      <c r="D276" s="10">
        <v>137827.88</v>
      </c>
    </row>
    <row r="277" spans="1:4" x14ac:dyDescent="0.25">
      <c r="A277" s="2" t="str">
        <f>"3.1.8.00.23- Custas/Despesas Judiciais"</f>
        <v>3.1.8.00.23- Custas/Despesas Judiciais</v>
      </c>
      <c r="B277" s="10">
        <v>10110.459999999999</v>
      </c>
      <c r="C277" s="10">
        <v>8427.01</v>
      </c>
      <c r="D277" s="10">
        <v>18537.47</v>
      </c>
    </row>
    <row r="278" spans="1:4" x14ac:dyDescent="0.25">
      <c r="A278" s="2" t="str">
        <f>"3.1.8.00.99- Despesas diversas"</f>
        <v>3.1.8.00.99- Despesas diversas</v>
      </c>
      <c r="B278" s="10">
        <v>362.51</v>
      </c>
      <c r="C278" s="10">
        <v>-15</v>
      </c>
      <c r="D278" s="10">
        <v>347.51</v>
      </c>
    </row>
    <row r="279" spans="1:4" x14ac:dyDescent="0.25">
      <c r="A279" s="2" t="str">
        <f>""</f>
        <v/>
      </c>
      <c r="B279" s="3" t="str">
        <f>""</f>
        <v/>
      </c>
      <c r="C279" s="3" t="str">
        <f>""</f>
        <v/>
      </c>
      <c r="D279" s="3" t="str">
        <f>""</f>
        <v/>
      </c>
    </row>
    <row r="280" spans="1:4" x14ac:dyDescent="0.25">
      <c r="A280" s="2" t="str">
        <f>""</f>
        <v/>
      </c>
      <c r="B280" s="3" t="str">
        <f>""</f>
        <v/>
      </c>
      <c r="C280" s="3" t="str">
        <f>""</f>
        <v/>
      </c>
      <c r="D280" s="3" t="str">
        <f>""</f>
        <v/>
      </c>
    </row>
    <row r="281" spans="1:4" x14ac:dyDescent="0.25">
      <c r="A281" s="2" t="str">
        <f>""</f>
        <v/>
      </c>
      <c r="B281" s="3" t="str">
        <f>""</f>
        <v/>
      </c>
      <c r="C281" s="3" t="str">
        <f>""</f>
        <v/>
      </c>
      <c r="D281" s="3" t="str">
        <f>""</f>
        <v/>
      </c>
    </row>
    <row r="282" spans="1:4" x14ac:dyDescent="0.25">
      <c r="A282" s="2" t="str">
        <f>""</f>
        <v/>
      </c>
      <c r="B282" s="3" t="str">
        <f>""</f>
        <v/>
      </c>
      <c r="C282" s="3" t="str">
        <f>""</f>
        <v/>
      </c>
      <c r="D282" s="3" t="str">
        <f>""</f>
        <v/>
      </c>
    </row>
    <row r="283" spans="1:4" x14ac:dyDescent="0.25">
      <c r="A283" s="2" t="str">
        <f>""</f>
        <v/>
      </c>
      <c r="B283" s="3" t="str">
        <f>""</f>
        <v/>
      </c>
      <c r="C283" s="3" t="str">
        <f>""</f>
        <v/>
      </c>
      <c r="D283" s="3" t="str">
        <f>""</f>
        <v/>
      </c>
    </row>
    <row r="284" spans="1:4" x14ac:dyDescent="0.25">
      <c r="A284" s="2" t="str">
        <f>""</f>
        <v/>
      </c>
      <c r="B284" s="3" t="str">
        <f>""</f>
        <v/>
      </c>
      <c r="C284" s="3" t="str">
        <f>""</f>
        <v/>
      </c>
      <c r="D284" s="3" t="str">
        <f>""</f>
        <v/>
      </c>
    </row>
    <row r="285" spans="1:4" x14ac:dyDescent="0.25">
      <c r="A285" s="2" t="str">
        <f>""</f>
        <v/>
      </c>
      <c r="B285" s="3" t="str">
        <f>""</f>
        <v/>
      </c>
      <c r="C285" s="3" t="str">
        <f>""</f>
        <v/>
      </c>
      <c r="D285" s="3" t="str">
        <f>""</f>
        <v/>
      </c>
    </row>
    <row r="286" spans="1:4" x14ac:dyDescent="0.25">
      <c r="A286" s="2" t="str">
        <f>""</f>
        <v/>
      </c>
      <c r="B286" s="3" t="str">
        <f>""</f>
        <v/>
      </c>
      <c r="C286" s="3" t="str">
        <f>""</f>
        <v/>
      </c>
      <c r="D286" s="3" t="str">
        <f>""</f>
        <v/>
      </c>
    </row>
    <row r="287" spans="1:4" x14ac:dyDescent="0.25">
      <c r="A287" s="2" t="str">
        <f>""</f>
        <v/>
      </c>
      <c r="B287" s="3" t="str">
        <f>""</f>
        <v/>
      </c>
      <c r="C287" s="3" t="str">
        <f>""</f>
        <v/>
      </c>
      <c r="D287" s="3" t="str">
        <f>""</f>
        <v/>
      </c>
    </row>
    <row r="288" spans="1:4" x14ac:dyDescent="0.25">
      <c r="A288" s="2" t="str">
        <f>""</f>
        <v/>
      </c>
      <c r="B288" s="3" t="str">
        <f>""</f>
        <v/>
      </c>
      <c r="C288" s="3" t="str">
        <f>""</f>
        <v/>
      </c>
      <c r="D288" s="3" t="str">
        <f>""</f>
        <v/>
      </c>
    </row>
    <row r="289" spans="1:4" x14ac:dyDescent="0.25">
      <c r="A289" s="2" t="str">
        <f>"RECEITAS"</f>
        <v>RECEITAS</v>
      </c>
      <c r="B289" s="3" t="str">
        <f>""</f>
        <v/>
      </c>
      <c r="C289" s="3" t="str">
        <f>""</f>
        <v/>
      </c>
      <c r="D289" s="3" t="str">
        <f>""</f>
        <v/>
      </c>
    </row>
    <row r="290" spans="1:4" x14ac:dyDescent="0.25">
      <c r="A290" s="2" t="str">
        <f>"4.0.0.00.00- RECEITAS"</f>
        <v>4.0.0.00.00- RECEITAS</v>
      </c>
      <c r="B290" s="10">
        <v>19889769.780000001</v>
      </c>
      <c r="C290" s="10">
        <v>11315784.4</v>
      </c>
      <c r="D290" s="10">
        <v>31205554.18</v>
      </c>
    </row>
    <row r="291" spans="1:4" x14ac:dyDescent="0.25">
      <c r="A291" s="2" t="str">
        <f>"4.1.0.00.00- RECEITAS BHTRANS"</f>
        <v>4.1.0.00.00- RECEITAS BHTRANS</v>
      </c>
      <c r="B291" s="10">
        <v>19604158.07</v>
      </c>
      <c r="C291" s="10">
        <v>11066030.66</v>
      </c>
      <c r="D291" s="10">
        <v>30670188.73</v>
      </c>
    </row>
    <row r="292" spans="1:4" x14ac:dyDescent="0.25">
      <c r="A292" s="2" t="str">
        <f>"4.1.1.00.00- RECEITAS OPERACIONAIS"</f>
        <v>4.1.1.00.00- RECEITAS OPERACIONAIS</v>
      </c>
      <c r="B292" s="10">
        <v>19487784.75</v>
      </c>
      <c r="C292" s="10">
        <v>11017228.390000001</v>
      </c>
      <c r="D292" s="10">
        <v>30505013.140000001</v>
      </c>
    </row>
    <row r="293" spans="1:4" x14ac:dyDescent="0.25">
      <c r="A293" s="2" t="str">
        <f>"4.1.1.00.05- Midia taxi, escolar e suplementar"</f>
        <v>4.1.1.00.05- Midia taxi, escolar e suplementar</v>
      </c>
      <c r="B293" s="10">
        <v>9549.5</v>
      </c>
      <c r="C293" s="10">
        <v>660.06</v>
      </c>
      <c r="D293" s="10">
        <v>10209.56</v>
      </c>
    </row>
    <row r="294" spans="1:4" x14ac:dyDescent="0.25">
      <c r="A294" s="2" t="str">
        <f>"4.1.1.00.06- Midia em onibus"</f>
        <v>4.1.1.00.06- Midia em onibus</v>
      </c>
      <c r="B294" s="10">
        <v>112104.18</v>
      </c>
      <c r="C294" s="10">
        <v>51855.86</v>
      </c>
      <c r="D294" s="10">
        <v>163960.04</v>
      </c>
    </row>
    <row r="295" spans="1:4" x14ac:dyDescent="0.25">
      <c r="A295" s="2" t="str">
        <f>"4.1.1.00.07- Midias diversas"</f>
        <v>4.1.1.00.07- Midias diversas</v>
      </c>
      <c r="B295" s="10">
        <v>15251.34</v>
      </c>
      <c r="C295" s="10">
        <v>7625.67</v>
      </c>
      <c r="D295" s="10">
        <v>22877.01</v>
      </c>
    </row>
    <row r="296" spans="1:4" x14ac:dyDescent="0.25">
      <c r="A296" s="2" t="str">
        <f>"4.1.1.00.08- Estacionamento Rotativo"</f>
        <v>4.1.1.00.08- Estacionamento Rotativo</v>
      </c>
      <c r="B296" s="10">
        <v>2451088.75</v>
      </c>
      <c r="C296" s="10">
        <v>1535261.4</v>
      </c>
      <c r="D296" s="10">
        <v>3986350.15</v>
      </c>
    </row>
    <row r="297" spans="1:4" x14ac:dyDescent="0.25">
      <c r="A297" s="2" t="str">
        <f>"4.1.1.00.10- Transf. financeira PBH"</f>
        <v>4.1.1.00.10- Transf. financeira PBH</v>
      </c>
      <c r="B297" s="10">
        <v>15548545.550000001</v>
      </c>
      <c r="C297" s="10">
        <v>8805328.5</v>
      </c>
      <c r="D297" s="10">
        <v>24353874.050000001</v>
      </c>
    </row>
    <row r="298" spans="1:4" x14ac:dyDescent="0.25">
      <c r="A298" s="2" t="str">
        <f>"4.1.1.00.16- Multas transporte coletivo"</f>
        <v>4.1.1.00.16- Multas transporte coletivo</v>
      </c>
      <c r="B298" s="10">
        <v>973429.54</v>
      </c>
      <c r="C298" s="10">
        <v>404849.19</v>
      </c>
      <c r="D298" s="10">
        <v>1378278.73</v>
      </c>
    </row>
    <row r="299" spans="1:4" x14ac:dyDescent="0.25">
      <c r="A299" s="2" t="str">
        <f>"4.1.1.00.17- Multas transporte publico"</f>
        <v>4.1.1.00.17- Multas transporte publico</v>
      </c>
      <c r="B299" s="10">
        <v>254547.6</v>
      </c>
      <c r="C299" s="10">
        <v>173822.02</v>
      </c>
      <c r="D299" s="10">
        <v>428369.62</v>
      </c>
    </row>
    <row r="300" spans="1:4" x14ac:dyDescent="0.25">
      <c r="A300" s="2" t="str">
        <f>"4.1.1.00.19- Subconcessao frotas de taxi"</f>
        <v>4.1.1.00.19- Subconcessao frotas de taxi</v>
      </c>
      <c r="B300" s="10">
        <v>123268.29</v>
      </c>
      <c r="C300" s="10">
        <v>37825.69</v>
      </c>
      <c r="D300" s="10">
        <v>161093.98000000001</v>
      </c>
    </row>
    <row r="301" spans="1:4" x14ac:dyDescent="0.25">
      <c r="A301" s="2" t="str">
        <f>"4.1.2.00.00- RECEITAS ESTACAO DIAMANTE"</f>
        <v>4.1.2.00.00- RECEITAS ESTACAO DIAMANTE</v>
      </c>
      <c r="B301" s="10">
        <v>78670.25</v>
      </c>
      <c r="C301" s="10">
        <v>24010.560000000001</v>
      </c>
      <c r="D301" s="10">
        <v>102680.81</v>
      </c>
    </row>
    <row r="302" spans="1:4" x14ac:dyDescent="0.25">
      <c r="A302" s="2" t="str">
        <f>"4.1.2.00.01- Alugueis"</f>
        <v>4.1.2.00.01- Alugueis</v>
      </c>
      <c r="B302" s="10">
        <v>78670.25</v>
      </c>
      <c r="C302" s="10">
        <v>24010.560000000001</v>
      </c>
      <c r="D302" s="10">
        <v>102680.81</v>
      </c>
    </row>
    <row r="303" spans="1:4" x14ac:dyDescent="0.25">
      <c r="A303" s="2" t="str">
        <f>"4.1.3.00.00- RECEITAS ESTACAO VENDA NOVA"</f>
        <v>4.1.3.00.00- RECEITAS ESTACAO VENDA NOVA</v>
      </c>
      <c r="B303" s="10">
        <v>34271.07</v>
      </c>
      <c r="C303" s="10">
        <v>24791.71</v>
      </c>
      <c r="D303" s="10">
        <v>59062.78</v>
      </c>
    </row>
    <row r="304" spans="1:4" x14ac:dyDescent="0.25">
      <c r="A304" s="2" t="str">
        <f>"4.1.3.00.01- Alugueis"</f>
        <v>4.1.3.00.01- Alugueis</v>
      </c>
      <c r="B304" s="10">
        <v>34271.07</v>
      </c>
      <c r="C304" s="10">
        <v>24791.71</v>
      </c>
      <c r="D304" s="10">
        <v>59062.78</v>
      </c>
    </row>
    <row r="305" spans="1:4" x14ac:dyDescent="0.25">
      <c r="A305" s="2" t="str">
        <f>"4.1.6.00.00- RECEITAS ESTACAO PAMPULHA"</f>
        <v>4.1.6.00.00- RECEITAS ESTACAO PAMPULHA</v>
      </c>
      <c r="B305" s="10">
        <v>3432</v>
      </c>
      <c r="C305" s="10">
        <v>0</v>
      </c>
      <c r="D305" s="10">
        <v>3432</v>
      </c>
    </row>
    <row r="306" spans="1:4" x14ac:dyDescent="0.25">
      <c r="A306" s="2" t="str">
        <f>"4.1.6.00.01- Alugueis"</f>
        <v>4.1.6.00.01- Alugueis</v>
      </c>
      <c r="B306" s="10">
        <v>3432</v>
      </c>
      <c r="C306" s="10">
        <v>0</v>
      </c>
      <c r="D306" s="10">
        <v>3432</v>
      </c>
    </row>
    <row r="307" spans="1:4" x14ac:dyDescent="0.25">
      <c r="A307" s="2" t="str">
        <f>"4.2.0.00.00- RECEITAS FINANCEIRAS"</f>
        <v>4.2.0.00.00- RECEITAS FINANCEIRAS</v>
      </c>
      <c r="B307" s="10">
        <v>31803.8</v>
      </c>
      <c r="C307" s="10">
        <v>40525.760000000002</v>
      </c>
      <c r="D307" s="10">
        <v>72329.56</v>
      </c>
    </row>
    <row r="308" spans="1:4" x14ac:dyDescent="0.25">
      <c r="A308" s="2" t="str">
        <f>"4.2.1.00.00- RECEITAS FINANCEIRAS"</f>
        <v>4.2.1.00.00- RECEITAS FINANCEIRAS</v>
      </c>
      <c r="B308" s="10">
        <v>31594.84</v>
      </c>
      <c r="C308" s="10">
        <v>40413.81</v>
      </c>
      <c r="D308" s="10">
        <v>72008.649999999994</v>
      </c>
    </row>
    <row r="309" spans="1:4" x14ac:dyDescent="0.25">
      <c r="A309" s="2" t="str">
        <f>"4.2.1.00.01- Rendimentos aplic. Financeira"</f>
        <v>4.2.1.00.01- Rendimentos aplic. Financeira</v>
      </c>
      <c r="B309" s="10">
        <v>31080.44</v>
      </c>
      <c r="C309" s="10">
        <v>40390.42</v>
      </c>
      <c r="D309" s="10">
        <v>71470.86</v>
      </c>
    </row>
    <row r="310" spans="1:4" x14ac:dyDescent="0.25">
      <c r="A310" s="2" t="str">
        <f>"4.2.1.00.02- Juros ativos"</f>
        <v>4.2.1.00.02- Juros ativos</v>
      </c>
      <c r="B310" s="10">
        <v>514.4</v>
      </c>
      <c r="C310" s="10">
        <v>23.39</v>
      </c>
      <c r="D310" s="10">
        <v>537.79</v>
      </c>
    </row>
    <row r="311" spans="1:4" x14ac:dyDescent="0.25">
      <c r="A311" s="2" t="str">
        <f>"4.2.2.00.00- VARIACOES MONETARIAS ATIVAS"</f>
        <v>4.2.2.00.00- VARIACOES MONETARIAS ATIVAS</v>
      </c>
      <c r="B311" s="10">
        <v>208.96</v>
      </c>
      <c r="C311" s="10">
        <v>111.95</v>
      </c>
      <c r="D311" s="10">
        <v>320.91000000000003</v>
      </c>
    </row>
    <row r="312" spans="1:4" x14ac:dyDescent="0.25">
      <c r="A312" s="2" t="str">
        <f>"4.2.2.00.01- Variações monetárias ativas"</f>
        <v>4.2.2.00.01- Variações monetárias ativas</v>
      </c>
      <c r="B312" s="10">
        <v>208.96</v>
      </c>
      <c r="C312" s="10">
        <v>111.95</v>
      </c>
      <c r="D312" s="10">
        <v>320.91000000000003</v>
      </c>
    </row>
    <row r="313" spans="1:4" x14ac:dyDescent="0.25">
      <c r="A313" s="2" t="str">
        <f>"4.3.0.00.00- OUTRAS RECEITAS"</f>
        <v>4.3.0.00.00- OUTRAS RECEITAS</v>
      </c>
      <c r="B313" s="10">
        <v>253807.91</v>
      </c>
      <c r="C313" s="10">
        <v>209227.98</v>
      </c>
      <c r="D313" s="10">
        <v>463035.89</v>
      </c>
    </row>
    <row r="314" spans="1:4" x14ac:dyDescent="0.25">
      <c r="A314" s="2" t="str">
        <f>"4.3.1.00.00- OUTRAS RECEITAS"</f>
        <v>4.3.1.00.00- OUTRAS RECEITAS</v>
      </c>
      <c r="B314" s="10">
        <v>253807.91</v>
      </c>
      <c r="C314" s="10">
        <v>209227.98</v>
      </c>
      <c r="D314" s="10">
        <v>463035.89</v>
      </c>
    </row>
    <row r="315" spans="1:4" x14ac:dyDescent="0.25">
      <c r="A315" s="2" t="str">
        <f>"4.3.1.00.04- Receitas Diversas"</f>
        <v>4.3.1.00.04- Receitas Diversas</v>
      </c>
      <c r="B315" s="10">
        <v>160466.23999999999</v>
      </c>
      <c r="C315" s="10">
        <v>114566.31</v>
      </c>
      <c r="D315" s="10">
        <v>275032.55</v>
      </c>
    </row>
    <row r="316" spans="1:4" x14ac:dyDescent="0.25">
      <c r="A316" s="2" t="str">
        <f>"4.3.1.00.07- Concessão de Abrigo de ônibus"</f>
        <v>4.3.1.00.07- Concessão de Abrigo de ônibus</v>
      </c>
      <c r="B316" s="10">
        <v>93341.67</v>
      </c>
      <c r="C316" s="10">
        <v>94661.67</v>
      </c>
      <c r="D316" s="10">
        <v>188003.34</v>
      </c>
    </row>
    <row r="317" spans="1:4" x14ac:dyDescent="0.25">
      <c r="A317" s="2" t="str">
        <f>""</f>
        <v/>
      </c>
      <c r="B317" s="3" t="str">
        <f>""</f>
        <v/>
      </c>
      <c r="C317" s="3" t="str">
        <f>""</f>
        <v/>
      </c>
      <c r="D317" s="3" t="str">
        <f>""</f>
        <v/>
      </c>
    </row>
    <row r="318" spans="1:4" x14ac:dyDescent="0.25">
      <c r="A318" s="2" t="str">
        <f>""</f>
        <v/>
      </c>
      <c r="B318" s="3" t="str">
        <f>""</f>
        <v/>
      </c>
      <c r="C318" s="3" t="str">
        <f>""</f>
        <v/>
      </c>
      <c r="D318" s="3" t="str">
        <f>""</f>
        <v/>
      </c>
    </row>
    <row r="319" spans="1:4" x14ac:dyDescent="0.25">
      <c r="A319" s="2" t="str">
        <f>""</f>
        <v/>
      </c>
      <c r="B319" s="3" t="str">
        <f>""</f>
        <v/>
      </c>
      <c r="C319" s="3" t="str">
        <f>""</f>
        <v/>
      </c>
      <c r="D319" s="3" t="str">
        <f>""</f>
        <v/>
      </c>
    </row>
    <row r="320" spans="1:4" x14ac:dyDescent="0.25">
      <c r="A320" s="2" t="str">
        <f>""</f>
        <v/>
      </c>
      <c r="B320" s="3" t="str">
        <f>""</f>
        <v/>
      </c>
      <c r="C320" s="3" t="str">
        <f>""</f>
        <v/>
      </c>
      <c r="D320" s="3" t="str">
        <f>""</f>
        <v/>
      </c>
    </row>
    <row r="321" spans="1:4" x14ac:dyDescent="0.25">
      <c r="A321" s="2" t="str">
        <f>""</f>
        <v/>
      </c>
      <c r="B321" s="3" t="str">
        <f>""</f>
        <v/>
      </c>
      <c r="C321" s="3" t="str">
        <f>""</f>
        <v/>
      </c>
      <c r="D321" s="3" t="str">
        <f>""</f>
        <v/>
      </c>
    </row>
    <row r="322" spans="1:4" x14ac:dyDescent="0.25">
      <c r="A322" s="2" t="str">
        <f>""</f>
        <v/>
      </c>
      <c r="B322" s="3" t="str">
        <f>""</f>
        <v/>
      </c>
      <c r="C322" s="3" t="str">
        <f>""</f>
        <v/>
      </c>
      <c r="D322" s="3" t="str">
        <f>""</f>
        <v/>
      </c>
    </row>
    <row r="323" spans="1:4" x14ac:dyDescent="0.25">
      <c r="A323" s="2" t="str">
        <f>""</f>
        <v/>
      </c>
      <c r="B323" s="3" t="str">
        <f>""</f>
        <v/>
      </c>
      <c r="C323" s="3" t="str">
        <f>""</f>
        <v/>
      </c>
      <c r="D323" s="3" t="str">
        <f>""</f>
        <v/>
      </c>
    </row>
    <row r="324" spans="1:4" x14ac:dyDescent="0.25">
      <c r="A324" s="2" t="str">
        <f>""</f>
        <v/>
      </c>
      <c r="B324" s="3" t="str">
        <f>""</f>
        <v/>
      </c>
      <c r="C324" s="3" t="str">
        <f>""</f>
        <v/>
      </c>
      <c r="D324" s="3" t="str">
        <f>""</f>
        <v/>
      </c>
    </row>
    <row r="325" spans="1:4" x14ac:dyDescent="0.25">
      <c r="A325" s="2" t="str">
        <f>""</f>
        <v/>
      </c>
      <c r="B325" s="3" t="str">
        <f>""</f>
        <v/>
      </c>
      <c r="C325" s="3" t="str">
        <f>""</f>
        <v/>
      </c>
      <c r="D325" s="3" t="str">
        <f>""</f>
        <v/>
      </c>
    </row>
    <row r="326" spans="1:4" x14ac:dyDescent="0.25">
      <c r="A326" s="2" t="str">
        <f>""</f>
        <v/>
      </c>
      <c r="B326" s="3" t="str">
        <f>""</f>
        <v/>
      </c>
      <c r="C326" s="3" t="str">
        <f>""</f>
        <v/>
      </c>
      <c r="D326" s="3" t="str">
        <f>""</f>
        <v/>
      </c>
    </row>
    <row r="327" spans="1:4" x14ac:dyDescent="0.25">
      <c r="A327" s="2" t="str">
        <f>""</f>
        <v/>
      </c>
      <c r="B327" s="3" t="str">
        <f>""</f>
        <v/>
      </c>
      <c r="C327" s="3" t="str">
        <f>""</f>
        <v/>
      </c>
      <c r="D327" s="3" t="str">
        <f>""</f>
        <v/>
      </c>
    </row>
    <row r="328" spans="1:4" x14ac:dyDescent="0.25">
      <c r="A328" s="2" t="str">
        <f>""</f>
        <v/>
      </c>
      <c r="B328" s="3" t="str">
        <f>""</f>
        <v/>
      </c>
      <c r="C328" s="3" t="str">
        <f>""</f>
        <v/>
      </c>
      <c r="D328" s="3" t="str">
        <f>""</f>
        <v/>
      </c>
    </row>
    <row r="329" spans="1:4" x14ac:dyDescent="0.25">
      <c r="A329" s="2" t="str">
        <f>""</f>
        <v/>
      </c>
      <c r="B329" s="3" t="str">
        <f>""</f>
        <v/>
      </c>
      <c r="C329" s="3" t="str">
        <f>""</f>
        <v/>
      </c>
      <c r="D329" s="3" t="str">
        <f>""</f>
        <v/>
      </c>
    </row>
    <row r="330" spans="1:4" x14ac:dyDescent="0.25">
      <c r="A330" s="2" t="str">
        <f>""</f>
        <v/>
      </c>
      <c r="B330" s="3" t="str">
        <f>""</f>
        <v/>
      </c>
      <c r="C330" s="3" t="str">
        <f>""</f>
        <v/>
      </c>
      <c r="D330" s="3" t="str">
        <f>""</f>
        <v/>
      </c>
    </row>
    <row r="331" spans="1:4" x14ac:dyDescent="0.25">
      <c r="A331" s="2" t="str">
        <f>""</f>
        <v/>
      </c>
      <c r="B331" s="3" t="str">
        <f>""</f>
        <v/>
      </c>
      <c r="C331" s="3" t="str">
        <f>""</f>
        <v/>
      </c>
      <c r="D331" s="3" t="str">
        <f>""</f>
        <v/>
      </c>
    </row>
    <row r="332" spans="1:4" x14ac:dyDescent="0.25">
      <c r="A332" s="2" t="str">
        <f>""</f>
        <v/>
      </c>
      <c r="B332" s="3" t="str">
        <f>""</f>
        <v/>
      </c>
      <c r="C332" s="3" t="str">
        <f>""</f>
        <v/>
      </c>
      <c r="D332" s="3" t="str">
        <f>""</f>
        <v/>
      </c>
    </row>
    <row r="333" spans="1:4" x14ac:dyDescent="0.25">
      <c r="A333" s="2" t="str">
        <f>""</f>
        <v/>
      </c>
      <c r="B333" s="3" t="str">
        <f>""</f>
        <v/>
      </c>
      <c r="C333" s="3" t="str">
        <f>""</f>
        <v/>
      </c>
      <c r="D333" s="3" t="str">
        <f>""</f>
        <v/>
      </c>
    </row>
    <row r="334" spans="1:4" x14ac:dyDescent="0.25">
      <c r="A334" s="2" t="str">
        <f>""</f>
        <v/>
      </c>
      <c r="B334" s="3" t="str">
        <f>""</f>
        <v/>
      </c>
      <c r="C334" s="3" t="str">
        <f>""</f>
        <v/>
      </c>
      <c r="D334" s="3" t="str">
        <f>""</f>
        <v/>
      </c>
    </row>
    <row r="335" spans="1:4" x14ac:dyDescent="0.25">
      <c r="A335" s="2" t="str">
        <f>""</f>
        <v/>
      </c>
      <c r="B335" s="3" t="str">
        <f>""</f>
        <v/>
      </c>
      <c r="C335" s="3" t="str">
        <f>""</f>
        <v/>
      </c>
      <c r="D335" s="3" t="str">
        <f>""</f>
        <v/>
      </c>
    </row>
    <row r="336" spans="1:4" x14ac:dyDescent="0.25">
      <c r="A336" s="2" t="str">
        <f>""</f>
        <v/>
      </c>
      <c r="B336" s="3" t="str">
        <f>""</f>
        <v/>
      </c>
      <c r="C336" s="3" t="str">
        <f>""</f>
        <v/>
      </c>
      <c r="D336" s="3" t="str">
        <f>""</f>
        <v/>
      </c>
    </row>
    <row r="337" spans="1:4" x14ac:dyDescent="0.25">
      <c r="A337" s="2" t="str">
        <f>""</f>
        <v/>
      </c>
      <c r="B337" s="3" t="str">
        <f>""</f>
        <v/>
      </c>
      <c r="C337" s="3" t="str">
        <f>""</f>
        <v/>
      </c>
      <c r="D337" s="3" t="str">
        <f>""</f>
        <v/>
      </c>
    </row>
    <row r="338" spans="1:4" x14ac:dyDescent="0.25">
      <c r="A338" s="2" t="str">
        <f>""</f>
        <v/>
      </c>
      <c r="B338" s="3" t="str">
        <f>""</f>
        <v/>
      </c>
      <c r="C338" s="3" t="str">
        <f>""</f>
        <v/>
      </c>
      <c r="D338" s="3" t="str">
        <f>""</f>
        <v/>
      </c>
    </row>
    <row r="339" spans="1:4" x14ac:dyDescent="0.25">
      <c r="A339" s="2" t="str">
        <f>""</f>
        <v/>
      </c>
      <c r="B339" s="3" t="str">
        <f>""</f>
        <v/>
      </c>
      <c r="C339" s="3" t="str">
        <f>""</f>
        <v/>
      </c>
      <c r="D339" s="3" t="str">
        <f>""</f>
        <v/>
      </c>
    </row>
    <row r="340" spans="1:4" x14ac:dyDescent="0.25">
      <c r="A340" s="2" t="str">
        <f>""</f>
        <v/>
      </c>
      <c r="B340" s="3" t="str">
        <f>""</f>
        <v/>
      </c>
      <c r="C340" s="3" t="str">
        <f>""</f>
        <v/>
      </c>
      <c r="D340" s="3" t="str">
        <f>""</f>
        <v/>
      </c>
    </row>
    <row r="341" spans="1:4" ht="15.75" thickBot="1" x14ac:dyDescent="0.3">
      <c r="A341" s="4" t="str">
        <f>"APURACAO DE RESULTADOS"</f>
        <v>APURACAO DE RESULTADOS</v>
      </c>
      <c r="B341" s="5" t="str">
        <f>""</f>
        <v/>
      </c>
      <c r="C341" s="5" t="str">
        <f>""</f>
        <v/>
      </c>
      <c r="D341" s="5" t="str">
        <f>""</f>
        <v/>
      </c>
    </row>
    <row r="342" spans="1:4" x14ac:dyDescent="0.25">
      <c r="A342" t="s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2"/>
  <sheetViews>
    <sheetView workbookViewId="0">
      <selection activeCell="E1" sqref="E1"/>
    </sheetView>
  </sheetViews>
  <sheetFormatPr defaultRowHeight="15" x14ac:dyDescent="0.25"/>
  <cols>
    <col min="1" max="1" width="71.5703125" bestFit="1" customWidth="1"/>
    <col min="2" max="2" width="14.5703125" bestFit="1" customWidth="1"/>
    <col min="3" max="3" width="14.28515625" bestFit="1" customWidth="1"/>
    <col min="4" max="4" width="14.5703125" bestFit="1" customWidth="1"/>
  </cols>
  <sheetData>
    <row r="1" spans="1:4" ht="19.5" thickBot="1" x14ac:dyDescent="0.35">
      <c r="A1" s="1" t="s">
        <v>4</v>
      </c>
      <c r="B1" s="1"/>
      <c r="C1" s="1"/>
      <c r="D1" s="1"/>
    </row>
    <row r="2" spans="1:4" ht="15.75" thickBot="1" x14ac:dyDescent="0.3">
      <c r="A2" s="8" t="s">
        <v>13</v>
      </c>
      <c r="B2" s="9" t="s">
        <v>14</v>
      </c>
      <c r="C2" s="9" t="s">
        <v>15</v>
      </c>
      <c r="D2" s="9" t="s">
        <v>16</v>
      </c>
    </row>
    <row r="3" spans="1:4" x14ac:dyDescent="0.25">
      <c r="A3" s="6" t="str">
        <f>"ATIVO"</f>
        <v>ATIVO</v>
      </c>
      <c r="B3" s="7" t="str">
        <f>""</f>
        <v/>
      </c>
      <c r="C3" s="7" t="str">
        <f>""</f>
        <v/>
      </c>
      <c r="D3" s="7" t="str">
        <f>""</f>
        <v/>
      </c>
    </row>
    <row r="4" spans="1:4" x14ac:dyDescent="0.25">
      <c r="A4" s="2" t="str">
        <f>"1.0.0.00.00- ATIVO"</f>
        <v>1.0.0.00.00- ATIVO</v>
      </c>
      <c r="B4" s="10">
        <v>31476752.469999999</v>
      </c>
      <c r="C4" s="10">
        <v>1045186.22</v>
      </c>
      <c r="D4" s="10">
        <v>32521938.690000001</v>
      </c>
    </row>
    <row r="5" spans="1:4" x14ac:dyDescent="0.25">
      <c r="A5" s="2" t="str">
        <f>"1.1.0.00.00- ATIVO CIRCULANTE"</f>
        <v>1.1.0.00.00- ATIVO CIRCULANTE</v>
      </c>
      <c r="B5" s="10">
        <v>21347252</v>
      </c>
      <c r="C5" s="10">
        <v>976803.2</v>
      </c>
      <c r="D5" s="10">
        <v>22324055.199999999</v>
      </c>
    </row>
    <row r="6" spans="1:4" x14ac:dyDescent="0.25">
      <c r="A6" s="2" t="str">
        <f>"1.1.1.00.00- DISPONIVEL"</f>
        <v>1.1.1.00.00- DISPONIVEL</v>
      </c>
      <c r="B6" s="10">
        <v>9131608.7699999996</v>
      </c>
      <c r="C6" s="10">
        <v>913337</v>
      </c>
      <c r="D6" s="10">
        <v>10044945.77</v>
      </c>
    </row>
    <row r="7" spans="1:4" x14ac:dyDescent="0.25">
      <c r="A7" s="2" t="str">
        <f>"1.1.1.02.00- BANCOS C/MOVIMENTO"</f>
        <v>1.1.1.02.00- BANCOS C/MOVIMENTO</v>
      </c>
      <c r="B7" s="10">
        <v>418314.51</v>
      </c>
      <c r="C7" s="10">
        <v>40494.97</v>
      </c>
      <c r="D7" s="10">
        <v>458809.48</v>
      </c>
    </row>
    <row r="8" spans="1:4" x14ac:dyDescent="0.25">
      <c r="A8" s="2" t="str">
        <f>"1.1.1.02.11- Banco do Brasil S/A - 720.000-5"</f>
        <v>1.1.1.02.11- Banco do Brasil S/A - 720.000-5</v>
      </c>
      <c r="B8" s="10">
        <v>451.26</v>
      </c>
      <c r="C8" s="10">
        <v>-122.38</v>
      </c>
      <c r="D8" s="10">
        <v>328.88</v>
      </c>
    </row>
    <row r="9" spans="1:4" x14ac:dyDescent="0.25">
      <c r="A9" s="2" t="str">
        <f>"1.1.1.02.12- Banco do Brasil S/A - 720.001-3"</f>
        <v>1.1.1.02.12- Banco do Brasil S/A - 720.001-3</v>
      </c>
      <c r="B9" s="10">
        <v>18330.310000000001</v>
      </c>
      <c r="C9" s="10">
        <v>39843.99</v>
      </c>
      <c r="D9" s="10">
        <v>58174.3</v>
      </c>
    </row>
    <row r="10" spans="1:4" x14ac:dyDescent="0.25">
      <c r="A10" s="2" t="str">
        <f>"1.1.1.02.15- Banco do Brasil S/A - 7.218-4"</f>
        <v>1.1.1.02.15- Banco do Brasil S/A - 7.218-4</v>
      </c>
      <c r="B10" s="10">
        <v>2583</v>
      </c>
      <c r="C10" s="10">
        <v>-2528</v>
      </c>
      <c r="D10" s="10">
        <v>55</v>
      </c>
    </row>
    <row r="11" spans="1:4" x14ac:dyDescent="0.25">
      <c r="A11" s="2" t="str">
        <f>"1.1.1.02.19- Caixa Econ. Federal-C/C 1223-6"</f>
        <v>1.1.1.02.19- Caixa Econ. Federal-C/C 1223-6</v>
      </c>
      <c r="B11" s="10">
        <v>15366.92</v>
      </c>
      <c r="C11" s="10">
        <v>-64.5</v>
      </c>
      <c r="D11" s="10">
        <v>15302.42</v>
      </c>
    </row>
    <row r="12" spans="1:4" x14ac:dyDescent="0.25">
      <c r="A12" s="2" t="str">
        <f>"1.1.1.02.29- Caixa Econômica Federal - 3289-3 Arrecad"</f>
        <v>1.1.1.02.29- Caixa Econômica Federal - 3289-3 Arrecad</v>
      </c>
      <c r="B12" s="10">
        <v>10827.12</v>
      </c>
      <c r="C12" s="10">
        <v>33400.480000000003</v>
      </c>
      <c r="D12" s="10">
        <v>44227.6</v>
      </c>
    </row>
    <row r="13" spans="1:4" x14ac:dyDescent="0.25">
      <c r="A13" s="2" t="str">
        <f>"1.1.1.02.30- Caixa Econômica Federal - 3291-5 Movimen"</f>
        <v>1.1.1.02.30- Caixa Econômica Federal - 3291-5 Movimen</v>
      </c>
      <c r="B13" s="10">
        <v>1006.06</v>
      </c>
      <c r="C13" s="10">
        <v>-211.36</v>
      </c>
      <c r="D13" s="10">
        <v>794.7</v>
      </c>
    </row>
    <row r="14" spans="1:4" x14ac:dyDescent="0.25">
      <c r="A14" s="2" t="str">
        <f>"1.1.1.02.32- Caixa Econômica Federal - 3292-3 Leilão"</f>
        <v>1.1.1.02.32- Caixa Econômica Federal - 3292-3 Leilão</v>
      </c>
      <c r="B14" s="10">
        <v>80</v>
      </c>
      <c r="C14" s="10">
        <v>0</v>
      </c>
      <c r="D14" s="10">
        <v>80</v>
      </c>
    </row>
    <row r="15" spans="1:4" x14ac:dyDescent="0.25">
      <c r="A15" s="2" t="str">
        <f>"1.1.1.02.33- Caixa Econômica Federal - 3295-8Leilão13"</f>
        <v>1.1.1.02.33- Caixa Econômica Federal - 3295-8Leilão13</v>
      </c>
      <c r="B15" s="10">
        <v>80</v>
      </c>
      <c r="C15" s="10">
        <v>0</v>
      </c>
      <c r="D15" s="10">
        <v>80</v>
      </c>
    </row>
    <row r="16" spans="1:4" x14ac:dyDescent="0.25">
      <c r="A16" s="2" t="str">
        <f>"1.1.1.02.37- Caixa Econômica Federal - 3299-0Leilão16"</f>
        <v>1.1.1.02.37- Caixa Econômica Federal - 3299-0Leilão16</v>
      </c>
      <c r="B16" s="10">
        <v>80</v>
      </c>
      <c r="C16" s="10">
        <v>0</v>
      </c>
      <c r="D16" s="10">
        <v>80</v>
      </c>
    </row>
    <row r="17" spans="1:4" x14ac:dyDescent="0.25">
      <c r="A17" s="2" t="str">
        <f>"1.1.1.02.39- Caixa Econômica Federal - 3301-6 Mídia"</f>
        <v>1.1.1.02.39- Caixa Econômica Federal - 3301-6 Mídia</v>
      </c>
      <c r="B17" s="10">
        <v>660.06</v>
      </c>
      <c r="C17" s="10">
        <v>4595.33</v>
      </c>
      <c r="D17" s="10">
        <v>5255.39</v>
      </c>
    </row>
    <row r="18" spans="1:4" x14ac:dyDescent="0.25">
      <c r="A18" s="2" t="str">
        <f>"1.1.1.02.40- Caixa Econômica Federal - 3302-4 Mídia"</f>
        <v>1.1.1.02.40- Caixa Econômica Federal - 3302-4 Mídia</v>
      </c>
      <c r="B18" s="10">
        <v>51855.86</v>
      </c>
      <c r="C18" s="10">
        <v>-8003.79</v>
      </c>
      <c r="D18" s="10">
        <v>43852.07</v>
      </c>
    </row>
    <row r="19" spans="1:4" x14ac:dyDescent="0.25">
      <c r="A19" s="2" t="str">
        <f>"1.1.1.02.41- Caixa Econômica Federal - 3303-2Rotativo"</f>
        <v>1.1.1.02.41- Caixa Econômica Federal - 3303-2Rotativo</v>
      </c>
      <c r="B19" s="10">
        <v>316993.91999999998</v>
      </c>
      <c r="C19" s="10">
        <v>-26414.799999999999</v>
      </c>
      <c r="D19" s="10">
        <v>290579.12</v>
      </c>
    </row>
    <row r="20" spans="1:4" x14ac:dyDescent="0.25">
      <c r="A20" s="2" t="str">
        <f>"1.1.1.03.00- APLICACOES FINANCEIRAS"</f>
        <v>1.1.1.03.00- APLICACOES FINANCEIRAS</v>
      </c>
      <c r="B20" s="10">
        <v>4741851.04</v>
      </c>
      <c r="C20" s="10">
        <v>1010368.49</v>
      </c>
      <c r="D20" s="10">
        <v>5752219.5300000003</v>
      </c>
    </row>
    <row r="21" spans="1:4" x14ac:dyDescent="0.25">
      <c r="A21" s="2" t="str">
        <f>"1.1.1.03.23- Caixa Econômica Federal - 3291-5"</f>
        <v>1.1.1.03.23- Caixa Econômica Federal - 3291-5</v>
      </c>
      <c r="B21" s="10">
        <v>3622789.07</v>
      </c>
      <c r="C21" s="10">
        <v>1004380.43</v>
      </c>
      <c r="D21" s="10">
        <v>4627169.5</v>
      </c>
    </row>
    <row r="22" spans="1:4" x14ac:dyDescent="0.25">
      <c r="A22" s="2" t="str">
        <f>"1.1.1.03.25- Caixa Econômica Federal - 3292-3 Leilão"</f>
        <v>1.1.1.03.25- Caixa Econômica Federal - 3292-3 Leilão</v>
      </c>
      <c r="B22" s="10">
        <v>68635.92</v>
      </c>
      <c r="C22" s="10">
        <v>524.92999999999995</v>
      </c>
      <c r="D22" s="10">
        <v>69160.850000000006</v>
      </c>
    </row>
    <row r="23" spans="1:4" x14ac:dyDescent="0.25">
      <c r="A23" s="2" t="str">
        <f>"1.1.1.03.26- Caixa Econômica Federal - 3295-8Leilão13"</f>
        <v>1.1.1.03.26- Caixa Econômica Federal - 3295-8Leilão13</v>
      </c>
      <c r="B23" s="10">
        <v>190762.02</v>
      </c>
      <c r="C23" s="10">
        <v>1458.98</v>
      </c>
      <c r="D23" s="10">
        <v>192221</v>
      </c>
    </row>
    <row r="24" spans="1:4" x14ac:dyDescent="0.25">
      <c r="A24" s="2" t="str">
        <f>"1.1.1.03.29- Caixa Econômica Federal - 3298-2Leilão15"</f>
        <v>1.1.1.03.29- Caixa Econômica Federal - 3298-2Leilão15</v>
      </c>
      <c r="B24" s="10">
        <v>94647.77</v>
      </c>
      <c r="C24" s="10">
        <v>662.69</v>
      </c>
      <c r="D24" s="10">
        <v>95310.46</v>
      </c>
    </row>
    <row r="25" spans="1:4" x14ac:dyDescent="0.25">
      <c r="A25" s="2" t="str">
        <f>"1.1.1.03.30- Caixa Econômica Federal - 3299-0Leilão16"</f>
        <v>1.1.1.03.30- Caixa Econômica Federal - 3299-0Leilão16</v>
      </c>
      <c r="B25" s="10">
        <v>118298.45</v>
      </c>
      <c r="C25" s="10">
        <v>904.76</v>
      </c>
      <c r="D25" s="10">
        <v>119203.21</v>
      </c>
    </row>
    <row r="26" spans="1:4" x14ac:dyDescent="0.25">
      <c r="A26" s="2" t="str">
        <f>"1.1.1.03.31- Caixa Econômica Federal - 3300-8Leilão16"</f>
        <v>1.1.1.03.31- Caixa Econômica Federal - 3300-8Leilão16</v>
      </c>
      <c r="B26" s="10">
        <v>42680.79</v>
      </c>
      <c r="C26" s="10">
        <v>298.83999999999997</v>
      </c>
      <c r="D26" s="10">
        <v>42979.63</v>
      </c>
    </row>
    <row r="27" spans="1:4" x14ac:dyDescent="0.25">
      <c r="A27" s="2" t="str">
        <f>"1.1.1.03.32- Caixa Econômica - 3301-6 Mídia"</f>
        <v>1.1.1.03.32- Caixa Econômica - 3301-6 Mídia</v>
      </c>
      <c r="B27" s="10">
        <v>69819.89</v>
      </c>
      <c r="C27" s="10">
        <v>513.42999999999995</v>
      </c>
      <c r="D27" s="10">
        <v>70333.320000000007</v>
      </c>
    </row>
    <row r="28" spans="1:4" x14ac:dyDescent="0.25">
      <c r="A28" s="2" t="str">
        <f>"1.1.1.03.35- Caixa Econômica - 3304-0Caução"</f>
        <v>1.1.1.03.35- Caixa Econômica - 3304-0Caução</v>
      </c>
      <c r="B28" s="10">
        <v>402668.39</v>
      </c>
      <c r="C28" s="10">
        <v>2919.52</v>
      </c>
      <c r="D28" s="10">
        <v>405587.91</v>
      </c>
    </row>
    <row r="29" spans="1:4" x14ac:dyDescent="0.25">
      <c r="A29" s="2" t="str">
        <f>"1.1.1.03.36- Caixa Econômica - 3305-9Sucumb."</f>
        <v>1.1.1.03.36- Caixa Econômica - 3305-9Sucumb.</v>
      </c>
      <c r="B29" s="10">
        <v>4416.38</v>
      </c>
      <c r="C29" s="10">
        <v>30.5</v>
      </c>
      <c r="D29" s="10">
        <v>4446.88</v>
      </c>
    </row>
    <row r="30" spans="1:4" x14ac:dyDescent="0.25">
      <c r="A30" s="2" t="str">
        <f>"1.1.1.03.38- Caixa Econômica - 3308-3Leilão"</f>
        <v>1.1.1.03.38- Caixa Econômica - 3308-3Leilão</v>
      </c>
      <c r="B30" s="10">
        <v>2046.93</v>
      </c>
      <c r="C30" s="10">
        <v>14.14</v>
      </c>
      <c r="D30" s="10">
        <v>2061.0700000000002</v>
      </c>
    </row>
    <row r="31" spans="1:4" x14ac:dyDescent="0.25">
      <c r="A31" s="2" t="str">
        <f>"1.1.1.03.41- Caixa Econômica - 531-0 Aci moto poupanç"</f>
        <v>1.1.1.03.41- Caixa Econômica - 531-0 Aci moto poupanç</v>
      </c>
      <c r="B31" s="10">
        <v>7205.13</v>
      </c>
      <c r="C31" s="10">
        <v>-2942.72</v>
      </c>
      <c r="D31" s="10">
        <v>4262.41</v>
      </c>
    </row>
    <row r="32" spans="1:4" x14ac:dyDescent="0.25">
      <c r="A32" s="2" t="str">
        <f>"1.1.1.03.42- Caixa Econômica - 532-9 Acid Ped Poupanç"</f>
        <v>1.1.1.03.42- Caixa Econômica - 532-9 Acid Ped Poupanç</v>
      </c>
      <c r="B32" s="10">
        <v>33217.160000000003</v>
      </c>
      <c r="C32" s="10">
        <v>452.4</v>
      </c>
      <c r="D32" s="10">
        <v>33669.56</v>
      </c>
    </row>
    <row r="33" spans="1:4" x14ac:dyDescent="0.25">
      <c r="A33" s="2" t="str">
        <f>"1.1.1.03.43- Caixa Econômica - 534-5 Codemig Poupança"</f>
        <v>1.1.1.03.43- Caixa Econômica - 534-5 Codemig Poupança</v>
      </c>
      <c r="B33" s="10">
        <v>24469.84</v>
      </c>
      <c r="C33" s="10">
        <v>332.55</v>
      </c>
      <c r="D33" s="10">
        <v>24802.39</v>
      </c>
    </row>
    <row r="34" spans="1:4" x14ac:dyDescent="0.25">
      <c r="A34" s="2" t="str">
        <f>"1.1.1.03.44- Caixa Econômica - 535-3 Turblog Poupança"</f>
        <v>1.1.1.03.44- Caixa Econômica - 535-3 Turblog Poupança</v>
      </c>
      <c r="B34" s="10">
        <v>60193.3</v>
      </c>
      <c r="C34" s="10">
        <v>818.04</v>
      </c>
      <c r="D34" s="10">
        <v>61011.34</v>
      </c>
    </row>
    <row r="35" spans="1:4" x14ac:dyDescent="0.25">
      <c r="A35" s="2" t="str">
        <f>"1.1.1.04.00- BANCOS C/VINCULADA-PAMEH"</f>
        <v>1.1.1.04.00- BANCOS C/VINCULADA-PAMEH</v>
      </c>
      <c r="B35" s="10">
        <v>3971443.22</v>
      </c>
      <c r="C35" s="10">
        <v>-137526.46</v>
      </c>
      <c r="D35" s="10">
        <v>3833916.76</v>
      </c>
    </row>
    <row r="36" spans="1:4" x14ac:dyDescent="0.25">
      <c r="A36" s="2" t="str">
        <f>"1.1.1.04.04- Mercantil do Brasil 02733249-2"</f>
        <v>1.1.1.04.04- Mercantil do Brasil 02733249-2</v>
      </c>
      <c r="B36" s="10">
        <v>207.81</v>
      </c>
      <c r="C36" s="10">
        <v>0</v>
      </c>
      <c r="D36" s="10">
        <v>207.81</v>
      </c>
    </row>
    <row r="37" spans="1:4" x14ac:dyDescent="0.25">
      <c r="A37" s="2" t="str">
        <f>"1.1.1.04.07- Caixa Econômica Federal - 3294-0"</f>
        <v>1.1.1.04.07- Caixa Econômica Federal - 3294-0</v>
      </c>
      <c r="B37" s="10">
        <v>-795.48</v>
      </c>
      <c r="C37" s="10">
        <v>845.48</v>
      </c>
      <c r="D37" s="10">
        <v>50</v>
      </c>
    </row>
    <row r="38" spans="1:4" x14ac:dyDescent="0.25">
      <c r="A38" s="2" t="str">
        <f>"1.1.1.04.08- Caixa Econômica Federal - 3294-0 Aplic."</f>
        <v>1.1.1.04.08- Caixa Econômica Federal - 3294-0 Aplic.</v>
      </c>
      <c r="B38" s="10">
        <v>3972030.89</v>
      </c>
      <c r="C38" s="10">
        <v>-138371.94</v>
      </c>
      <c r="D38" s="10">
        <v>3833658.95</v>
      </c>
    </row>
    <row r="39" spans="1:4" x14ac:dyDescent="0.25">
      <c r="A39" s="2" t="str">
        <f>"1.1.2.00.00- REALIZAVEL A CURTO PRAZO"</f>
        <v>1.1.2.00.00- REALIZAVEL A CURTO PRAZO</v>
      </c>
      <c r="B39" s="10">
        <v>12215643.23</v>
      </c>
      <c r="C39" s="10">
        <v>63466.2</v>
      </c>
      <c r="D39" s="10">
        <v>12279109.43</v>
      </c>
    </row>
    <row r="40" spans="1:4" x14ac:dyDescent="0.25">
      <c r="A40" s="2" t="str">
        <f>"1.1.2.01.00- CONTAS A RECEBER"</f>
        <v>1.1.2.01.00- CONTAS A RECEBER</v>
      </c>
      <c r="B40" s="10">
        <v>7477774.8200000003</v>
      </c>
      <c r="C40" s="10">
        <v>0</v>
      </c>
      <c r="D40" s="10">
        <v>7477774.8200000003</v>
      </c>
    </row>
    <row r="41" spans="1:4" x14ac:dyDescent="0.25">
      <c r="A41" s="2" t="str">
        <f>"1.1.2.01.89- Multas Transporte Coletivo"</f>
        <v>1.1.2.01.89- Multas Transporte Coletivo</v>
      </c>
      <c r="B41" s="10">
        <v>8797092.2699999996</v>
      </c>
      <c r="C41" s="10">
        <v>0</v>
      </c>
      <c r="D41" s="10">
        <v>8797092.2699999996</v>
      </c>
    </row>
    <row r="42" spans="1:4" x14ac:dyDescent="0.25">
      <c r="A42" s="2" t="str">
        <f>"1.1.2.01.94- Midia Onibus a Receber"</f>
        <v>1.1.2.01.94- Midia Onibus a Receber</v>
      </c>
      <c r="B42" s="10">
        <v>786491.64</v>
      </c>
      <c r="C42" s="10">
        <v>0</v>
      </c>
      <c r="D42" s="10">
        <v>786491.64</v>
      </c>
    </row>
    <row r="43" spans="1:4" x14ac:dyDescent="0.25">
      <c r="A43" s="2" t="str">
        <f>"1.1.2.01.99- (-) Provisao para Perdas"</f>
        <v>1.1.2.01.99- (-) Provisao para Perdas</v>
      </c>
      <c r="B43" s="10">
        <v>-2105809.09</v>
      </c>
      <c r="C43" s="10">
        <v>0</v>
      </c>
      <c r="D43" s="10">
        <v>-2105809.09</v>
      </c>
    </row>
    <row r="44" spans="1:4" x14ac:dyDescent="0.25">
      <c r="A44" s="2" t="str">
        <f>"1.1.2.06.00- ADIANTAMENTO A EMPREGADOS"</f>
        <v>1.1.2.06.00- ADIANTAMENTO A EMPREGADOS</v>
      </c>
      <c r="B44" s="10">
        <v>1425820.45</v>
      </c>
      <c r="C44" s="10">
        <v>39985.269999999997</v>
      </c>
      <c r="D44" s="10">
        <v>1465805.72</v>
      </c>
    </row>
    <row r="45" spans="1:4" x14ac:dyDescent="0.25">
      <c r="A45" s="2" t="str">
        <f>"1.1.2.06.01- Adiantamento de Ferias"</f>
        <v>1.1.2.06.01- Adiantamento de Ferias</v>
      </c>
      <c r="B45" s="10">
        <v>578076.56999999995</v>
      </c>
      <c r="C45" s="10">
        <v>14465.96</v>
      </c>
      <c r="D45" s="10">
        <v>592542.53</v>
      </c>
    </row>
    <row r="46" spans="1:4" x14ac:dyDescent="0.25">
      <c r="A46" s="2" t="str">
        <f>"1.1.2.06.02- Adiantamento de 13. Salario"</f>
        <v>1.1.2.06.02- Adiantamento de 13. Salario</v>
      </c>
      <c r="B46" s="10">
        <v>605679.18000000005</v>
      </c>
      <c r="C46" s="10">
        <v>71523.149999999994</v>
      </c>
      <c r="D46" s="10">
        <v>677202.33</v>
      </c>
    </row>
    <row r="47" spans="1:4" x14ac:dyDescent="0.25">
      <c r="A47" s="2" t="str">
        <f>"1.1.2.06.03- Adiant. de Salario/Parc. Ferias"</f>
        <v>1.1.2.06.03- Adiant. de Salario/Parc. Ferias</v>
      </c>
      <c r="B47" s="10">
        <v>135168.35999999999</v>
      </c>
      <c r="C47" s="10">
        <v>-44024.160000000003</v>
      </c>
      <c r="D47" s="10">
        <v>91144.2</v>
      </c>
    </row>
    <row r="48" spans="1:4" x14ac:dyDescent="0.25">
      <c r="A48" s="2" t="str">
        <f>"1.1.2.06.06- Diferencas Salariais a Apropriar"</f>
        <v>1.1.2.06.06- Diferencas Salariais a Apropriar</v>
      </c>
      <c r="B48" s="10">
        <v>7335.29</v>
      </c>
      <c r="C48" s="10">
        <v>0</v>
      </c>
      <c r="D48" s="10">
        <v>7335.29</v>
      </c>
    </row>
    <row r="49" spans="1:4" x14ac:dyDescent="0.25">
      <c r="A49" s="2" t="str">
        <f>"1.1.2.06.07- Adiantamento Pensao s/ Ferias"</f>
        <v>1.1.2.06.07- Adiantamento Pensao s/ Ferias</v>
      </c>
      <c r="B49" s="10">
        <v>99561.05</v>
      </c>
      <c r="C49" s="10">
        <v>-1979.68</v>
      </c>
      <c r="D49" s="10">
        <v>97581.37</v>
      </c>
    </row>
    <row r="50" spans="1:4" x14ac:dyDescent="0.25">
      <c r="A50" s="2" t="str">
        <f>"1.1.2.08.00- ALMOXARIFADO"</f>
        <v>1.1.2.08.00- ALMOXARIFADO</v>
      </c>
      <c r="B50" s="10">
        <v>270775.74</v>
      </c>
      <c r="C50" s="10">
        <v>-3978.45</v>
      </c>
      <c r="D50" s="10">
        <v>266797.28999999998</v>
      </c>
    </row>
    <row r="51" spans="1:4" x14ac:dyDescent="0.25">
      <c r="A51" s="2" t="str">
        <f>"1.1.2.08.01- Material em Estoque"</f>
        <v>1.1.2.08.01- Material em Estoque</v>
      </c>
      <c r="B51" s="10">
        <v>270775.74</v>
      </c>
      <c r="C51" s="10">
        <v>-3978.45</v>
      </c>
      <c r="D51" s="10">
        <v>266797.28999999998</v>
      </c>
    </row>
    <row r="52" spans="1:4" x14ac:dyDescent="0.25">
      <c r="A52" s="2" t="str">
        <f>"1.1.2.10.00- IMPOSTOS E CONTRIB.A RECUPERAR"</f>
        <v>1.1.2.10.00- IMPOSTOS E CONTRIB.A RECUPERAR</v>
      </c>
      <c r="B52" s="10">
        <v>1826822.31</v>
      </c>
      <c r="C52" s="10">
        <v>632.04999999999995</v>
      </c>
      <c r="D52" s="10">
        <v>1827454.36</v>
      </c>
    </row>
    <row r="53" spans="1:4" x14ac:dyDescent="0.25">
      <c r="A53" s="2" t="str">
        <f>"1.1.2.10.01- IR s/Aplicacao Financeira"</f>
        <v>1.1.2.10.01- IR s/Aplicacao Financeira</v>
      </c>
      <c r="B53" s="10">
        <v>395122.37</v>
      </c>
      <c r="C53" s="10">
        <v>547.85</v>
      </c>
      <c r="D53" s="10">
        <v>395670.22</v>
      </c>
    </row>
    <row r="54" spans="1:4" x14ac:dyDescent="0.25">
      <c r="A54" s="2" t="str">
        <f>"1.1.2.10.08- IRRF a Compensar"</f>
        <v>1.1.2.10.08- IRRF a Compensar</v>
      </c>
      <c r="B54" s="10">
        <v>1454.99</v>
      </c>
      <c r="C54" s="10">
        <v>0</v>
      </c>
      <c r="D54" s="10">
        <v>1454.99</v>
      </c>
    </row>
    <row r="55" spans="1:4" x14ac:dyDescent="0.25">
      <c r="A55" s="2" t="str">
        <f>"1.1.2.10.10- INSS a Recuperar"</f>
        <v>1.1.2.10.10- INSS a Recuperar</v>
      </c>
      <c r="B55" s="10">
        <v>51768.62</v>
      </c>
      <c r="C55" s="10">
        <v>0</v>
      </c>
      <c r="D55" s="10">
        <v>51768.62</v>
      </c>
    </row>
    <row r="56" spans="1:4" x14ac:dyDescent="0.25">
      <c r="A56" s="2" t="str">
        <f>"1.1.2.10.15- Cofins a Compensar"</f>
        <v>1.1.2.10.15- Cofins a Compensar</v>
      </c>
      <c r="B56" s="10">
        <v>1039251.02</v>
      </c>
      <c r="C56" s="10">
        <v>0.02</v>
      </c>
      <c r="D56" s="10">
        <v>1039251.04</v>
      </c>
    </row>
    <row r="57" spans="1:4" x14ac:dyDescent="0.25">
      <c r="A57" s="2" t="str">
        <f>"1.1.2.10.16- PIS a Compensar"</f>
        <v>1.1.2.10.16- PIS a Compensar</v>
      </c>
      <c r="B57" s="10">
        <v>224393.9</v>
      </c>
      <c r="C57" s="10">
        <v>-0.03</v>
      </c>
      <c r="D57" s="10">
        <v>224393.87</v>
      </c>
    </row>
    <row r="58" spans="1:4" x14ac:dyDescent="0.25">
      <c r="A58" s="2" t="str">
        <f>"1.1.2.10.20- V.M.A PIS a Recuperar"</f>
        <v>1.1.2.10.20- V.M.A PIS a Recuperar</v>
      </c>
      <c r="B58" s="10">
        <v>998.19</v>
      </c>
      <c r="C58" s="10">
        <v>46.11</v>
      </c>
      <c r="D58" s="10">
        <v>1044.3</v>
      </c>
    </row>
    <row r="59" spans="1:4" x14ac:dyDescent="0.25">
      <c r="A59" s="2" t="str">
        <f>"1.1.2.10.21- V.M.A IRRF a Compensar"</f>
        <v>1.1.2.10.21- V.M.A IRRF a Compensar</v>
      </c>
      <c r="B59" s="10">
        <v>384.73</v>
      </c>
      <c r="C59" s="10">
        <v>11.49</v>
      </c>
      <c r="D59" s="10">
        <v>396.22</v>
      </c>
    </row>
    <row r="60" spans="1:4" x14ac:dyDescent="0.25">
      <c r="A60" s="2" t="str">
        <f>"1.1.2.10.22- V.M.A COFINS a Compensar"</f>
        <v>1.1.2.10.22- V.M.A COFINS a Compensar</v>
      </c>
      <c r="B60" s="10">
        <v>5184.72</v>
      </c>
      <c r="C60" s="10">
        <v>26.61</v>
      </c>
      <c r="D60" s="10">
        <v>5211.33</v>
      </c>
    </row>
    <row r="61" spans="1:4" x14ac:dyDescent="0.25">
      <c r="A61" s="2" t="str">
        <f>"1.1.2.10.25- INSS a recuperar segurados"</f>
        <v>1.1.2.10.25- INSS a recuperar segurados</v>
      </c>
      <c r="B61" s="10">
        <v>108263.77</v>
      </c>
      <c r="C61" s="10">
        <v>0</v>
      </c>
      <c r="D61" s="10">
        <v>108263.77</v>
      </c>
    </row>
    <row r="62" spans="1:4" x14ac:dyDescent="0.25">
      <c r="A62" s="2" t="str">
        <f>"1.1.2.11.00- DESPESAS ANTECIPADAS"</f>
        <v>1.1.2.11.00- DESPESAS ANTECIPADAS</v>
      </c>
      <c r="B62" s="10">
        <v>8404.2000000000007</v>
      </c>
      <c r="C62" s="10">
        <v>-709.62</v>
      </c>
      <c r="D62" s="10">
        <v>7694.58</v>
      </c>
    </row>
    <row r="63" spans="1:4" x14ac:dyDescent="0.25">
      <c r="A63" s="2" t="str">
        <f>"1.1.2.11.01- Premios de Seguros a Vencer"</f>
        <v>1.1.2.11.01- Premios de Seguros a Vencer</v>
      </c>
      <c r="B63" s="10">
        <v>8404.2000000000007</v>
      </c>
      <c r="C63" s="10">
        <v>-709.62</v>
      </c>
      <c r="D63" s="10">
        <v>7694.58</v>
      </c>
    </row>
    <row r="64" spans="1:4" x14ac:dyDescent="0.25">
      <c r="A64" s="2" t="str">
        <f>"1.1.2.12.00- VALORES VINC.A RECEBER-PAMEH"</f>
        <v>1.1.2.12.00- VALORES VINC.A RECEBER-PAMEH</v>
      </c>
      <c r="B64" s="10">
        <v>635406.51</v>
      </c>
      <c r="C64" s="10">
        <v>3880.32</v>
      </c>
      <c r="D64" s="10">
        <v>639286.82999999996</v>
      </c>
    </row>
    <row r="65" spans="1:4" x14ac:dyDescent="0.25">
      <c r="A65" s="2" t="str">
        <f>"1.1.2.12.01- Valores Vinculados-PAMEH"</f>
        <v>1.1.2.12.01- Valores Vinculados-PAMEH</v>
      </c>
      <c r="B65" s="10">
        <v>635406.51</v>
      </c>
      <c r="C65" s="10">
        <v>3880.32</v>
      </c>
      <c r="D65" s="10">
        <v>639286.82999999996</v>
      </c>
    </row>
    <row r="66" spans="1:4" x14ac:dyDescent="0.25">
      <c r="A66" s="2" t="str">
        <f>"1.1.2.14.00- CONTAS TRANSITORIAS - GRUPO ATIVO"</f>
        <v>1.1.2.14.00- CONTAS TRANSITORIAS - GRUPO ATIVO</v>
      </c>
      <c r="B66" s="10">
        <v>508348.4</v>
      </c>
      <c r="C66" s="10">
        <v>44892.84</v>
      </c>
      <c r="D66" s="10">
        <v>553241.24</v>
      </c>
    </row>
    <row r="67" spans="1:4" x14ac:dyDescent="0.25">
      <c r="A67" s="2" t="str">
        <f>"1.1.2.14.05- Transitoria Folha de Pagamento"</f>
        <v>1.1.2.14.05- Transitoria Folha de Pagamento</v>
      </c>
      <c r="B67" s="10">
        <v>508348.4</v>
      </c>
      <c r="C67" s="10">
        <v>44892.84</v>
      </c>
      <c r="D67" s="10">
        <v>553241.24</v>
      </c>
    </row>
    <row r="68" spans="1:4" x14ac:dyDescent="0.25">
      <c r="A68" s="2" t="str">
        <f>"1.1.2.15.00- CARNE ESTACIONAMENTO ROTATIVO"</f>
        <v>1.1.2.15.00- CARNE ESTACIONAMENTO ROTATIVO</v>
      </c>
      <c r="B68" s="10">
        <v>62290.8</v>
      </c>
      <c r="C68" s="10">
        <v>-21236.21</v>
      </c>
      <c r="D68" s="10">
        <v>41054.589999999997</v>
      </c>
    </row>
    <row r="69" spans="1:4" x14ac:dyDescent="0.25">
      <c r="A69" s="2" t="str">
        <f>"1.1.2.15.01- Carne Rotativo"</f>
        <v>1.1.2.15.01- Carne Rotativo</v>
      </c>
      <c r="B69" s="10">
        <v>62290.8</v>
      </c>
      <c r="C69" s="10">
        <v>-21236.21</v>
      </c>
      <c r="D69" s="10">
        <v>41054.589999999997</v>
      </c>
    </row>
    <row r="70" spans="1:4" x14ac:dyDescent="0.25">
      <c r="A70" s="2" t="str">
        <f>"1.2.0.00.00- ATIVO NAO CIRCULANTE"</f>
        <v>1.2.0.00.00- ATIVO NAO CIRCULANTE</v>
      </c>
      <c r="B70" s="10">
        <v>10129500.470000001</v>
      </c>
      <c r="C70" s="10">
        <v>68383.02</v>
      </c>
      <c r="D70" s="10">
        <v>10197883.49</v>
      </c>
    </row>
    <row r="71" spans="1:4" x14ac:dyDescent="0.25">
      <c r="A71" s="2" t="str">
        <f>"1.2.1.00.00- REALIZAVEL A LONGO PRAZO"</f>
        <v>1.2.1.00.00- REALIZAVEL A LONGO PRAZO</v>
      </c>
      <c r="B71" s="10">
        <v>7894012.6299999999</v>
      </c>
      <c r="C71" s="10">
        <v>94759.5</v>
      </c>
      <c r="D71" s="10">
        <v>7988772.1299999999</v>
      </c>
    </row>
    <row r="72" spans="1:4" x14ac:dyDescent="0.25">
      <c r="A72" s="2" t="str">
        <f>"1.2.1.01.00- CREDITOS E VALORES A RECEBER"</f>
        <v>1.2.1.01.00- CREDITOS E VALORES A RECEBER</v>
      </c>
      <c r="B72" s="10">
        <v>7894012.6299999999</v>
      </c>
      <c r="C72" s="10">
        <v>94759.5</v>
      </c>
      <c r="D72" s="10">
        <v>7988772.1299999999</v>
      </c>
    </row>
    <row r="73" spans="1:4" x14ac:dyDescent="0.25">
      <c r="A73" s="2" t="str">
        <f>"1.2.1.01.01- Depositos Judiciais"</f>
        <v>1.2.1.01.01- Depositos Judiciais</v>
      </c>
      <c r="B73" s="10">
        <v>2068582.09</v>
      </c>
      <c r="C73" s="10">
        <v>84924.79</v>
      </c>
      <c r="D73" s="10">
        <v>2153506.88</v>
      </c>
    </row>
    <row r="74" spans="1:4" x14ac:dyDescent="0.25">
      <c r="A74" s="2" t="str">
        <f>"1.2.1.01.03- Depositos Judiciais de Terceiros"</f>
        <v>1.2.1.01.03- Depositos Judiciais de Terceiros</v>
      </c>
      <c r="B74" s="10">
        <v>347935.69</v>
      </c>
      <c r="C74" s="10">
        <v>9834.7099999999991</v>
      </c>
      <c r="D74" s="10">
        <v>357770.4</v>
      </c>
    </row>
    <row r="75" spans="1:4" x14ac:dyDescent="0.25">
      <c r="A75" s="2" t="str">
        <f>"1.2.1.01.04- Convenio Prefeitura Betim"</f>
        <v>1.2.1.01.04- Convenio Prefeitura Betim</v>
      </c>
      <c r="B75" s="10">
        <v>21463.9</v>
      </c>
      <c r="C75" s="10">
        <v>0</v>
      </c>
      <c r="D75" s="10">
        <v>21463.9</v>
      </c>
    </row>
    <row r="76" spans="1:4" x14ac:dyDescent="0.25">
      <c r="A76" s="2" t="str">
        <f>"1.2.1.01.05- Convenio IPSEMG"</f>
        <v>1.2.1.01.05- Convenio IPSEMG</v>
      </c>
      <c r="B76" s="10">
        <v>21163.53</v>
      </c>
      <c r="C76" s="10">
        <v>0</v>
      </c>
      <c r="D76" s="10">
        <v>21163.53</v>
      </c>
    </row>
    <row r="77" spans="1:4" x14ac:dyDescent="0.25">
      <c r="A77" s="2" t="str">
        <f>"1.2.1.01.06- Multas Transporte Coletivo"</f>
        <v>1.2.1.01.06- Multas Transporte Coletivo</v>
      </c>
      <c r="B77" s="10">
        <v>5434867.4199999999</v>
      </c>
      <c r="C77" s="10">
        <v>0</v>
      </c>
      <c r="D77" s="10">
        <v>5434867.4199999999</v>
      </c>
    </row>
    <row r="78" spans="1:4" x14ac:dyDescent="0.25">
      <c r="A78" s="2" t="str">
        <f>"1.3.1.00.00- INVESTIMENTOS"</f>
        <v>1.3.1.00.00- INVESTIMENTOS</v>
      </c>
      <c r="B78" s="10">
        <v>26070</v>
      </c>
      <c r="C78" s="10">
        <v>0</v>
      </c>
      <c r="D78" s="10">
        <v>26070</v>
      </c>
    </row>
    <row r="79" spans="1:4" x14ac:dyDescent="0.25">
      <c r="A79" s="2" t="str">
        <f>"1.3.1.01.00- OUTROS INVESTIMENTOS"</f>
        <v>1.3.1.01.00- OUTROS INVESTIMENTOS</v>
      </c>
      <c r="B79" s="10">
        <v>26070</v>
      </c>
      <c r="C79" s="10">
        <v>0</v>
      </c>
      <c r="D79" s="10">
        <v>26070</v>
      </c>
    </row>
    <row r="80" spans="1:4" x14ac:dyDescent="0.25">
      <c r="A80" s="2" t="str">
        <f>"1.3.1.01.01- Obras de Arte"</f>
        <v>1.3.1.01.01- Obras de Arte</v>
      </c>
      <c r="B80" s="10">
        <v>25200</v>
      </c>
      <c r="C80" s="10">
        <v>0</v>
      </c>
      <c r="D80" s="10">
        <v>25200</v>
      </c>
    </row>
    <row r="81" spans="1:4" x14ac:dyDescent="0.25">
      <c r="A81" s="2" t="str">
        <f>"1.3.1.01.02- Participações Societárias - PBH ATIVOS"</f>
        <v>1.3.1.01.02- Participações Societárias - PBH ATIVOS</v>
      </c>
      <c r="B81" s="10">
        <v>870</v>
      </c>
      <c r="C81" s="10">
        <v>0</v>
      </c>
      <c r="D81" s="10">
        <v>870</v>
      </c>
    </row>
    <row r="82" spans="1:4" x14ac:dyDescent="0.25">
      <c r="A82" s="2" t="str">
        <f>"1.3.2.00.00- IMOBILIZADO"</f>
        <v>1.3.2.00.00- IMOBILIZADO</v>
      </c>
      <c r="B82" s="10">
        <v>6871640.1200000001</v>
      </c>
      <c r="C82" s="10">
        <v>-18251.75</v>
      </c>
      <c r="D82" s="10">
        <v>6853388.3700000001</v>
      </c>
    </row>
    <row r="83" spans="1:4" x14ac:dyDescent="0.25">
      <c r="A83" s="2" t="str">
        <f>"1.3.2.01.01- Maquinas e equipamentos"</f>
        <v>1.3.2.01.01- Maquinas e equipamentos</v>
      </c>
      <c r="B83" s="10">
        <v>240062.7</v>
      </c>
      <c r="C83" s="10">
        <v>-13858</v>
      </c>
      <c r="D83" s="10">
        <v>226204.7</v>
      </c>
    </row>
    <row r="84" spans="1:4" x14ac:dyDescent="0.25">
      <c r="A84" s="2" t="str">
        <f>"1.3.2.02.01- Ferramentas"</f>
        <v>1.3.2.02.01- Ferramentas</v>
      </c>
      <c r="B84" s="10">
        <v>9104.81</v>
      </c>
      <c r="C84" s="10">
        <v>0</v>
      </c>
      <c r="D84" s="10">
        <v>9104.81</v>
      </c>
    </row>
    <row r="85" spans="1:4" x14ac:dyDescent="0.25">
      <c r="A85" s="2" t="str">
        <f>"1.3.2.03.01- Equipamentos de comunicacao"</f>
        <v>1.3.2.03.01- Equipamentos de comunicacao</v>
      </c>
      <c r="B85" s="10">
        <v>191924.73</v>
      </c>
      <c r="C85" s="10">
        <v>-420</v>
      </c>
      <c r="D85" s="10">
        <v>191504.73</v>
      </c>
    </row>
    <row r="86" spans="1:4" x14ac:dyDescent="0.25">
      <c r="A86" s="2" t="str">
        <f>"1.3.2.04.01- Instalacoes"</f>
        <v>1.3.2.04.01- Instalacoes</v>
      </c>
      <c r="B86" s="10">
        <v>85222.9</v>
      </c>
      <c r="C86" s="10">
        <v>0</v>
      </c>
      <c r="D86" s="10">
        <v>85222.9</v>
      </c>
    </row>
    <row r="87" spans="1:4" x14ac:dyDescent="0.25">
      <c r="A87" s="2" t="str">
        <f>"1.3.2.06.01- Moveis e utensilios"</f>
        <v>1.3.2.06.01- Moveis e utensilios</v>
      </c>
      <c r="B87" s="10">
        <v>539676.85</v>
      </c>
      <c r="C87" s="10">
        <v>-1400</v>
      </c>
      <c r="D87" s="10">
        <v>538276.85</v>
      </c>
    </row>
    <row r="88" spans="1:4" x14ac:dyDescent="0.25">
      <c r="A88" s="2" t="str">
        <f>"1.3.2.08.01- Instalacoes administrativas"</f>
        <v>1.3.2.08.01- Instalacoes administrativas</v>
      </c>
      <c r="B88" s="10">
        <v>99146.34</v>
      </c>
      <c r="C88" s="10">
        <v>0</v>
      </c>
      <c r="D88" s="10">
        <v>99146.34</v>
      </c>
    </row>
    <row r="89" spans="1:4" x14ac:dyDescent="0.25">
      <c r="A89" s="2" t="str">
        <f>"1.3.2.09.01- Aparelhos/equipamentos diversos"</f>
        <v>1.3.2.09.01- Aparelhos/equipamentos diversos</v>
      </c>
      <c r="B89" s="10">
        <v>604615.32999999996</v>
      </c>
      <c r="C89" s="10">
        <v>-1265</v>
      </c>
      <c r="D89" s="10">
        <v>603350.32999999996</v>
      </c>
    </row>
    <row r="90" spans="1:4" x14ac:dyDescent="0.25">
      <c r="A90" s="2" t="str">
        <f>"1.3.2.10.01- Equip. p/ processamento de dados"</f>
        <v>1.3.2.10.01- Equip. p/ processamento de dados</v>
      </c>
      <c r="B90" s="10">
        <v>696029.05</v>
      </c>
      <c r="C90" s="10">
        <v>0</v>
      </c>
      <c r="D90" s="10">
        <v>696029.05</v>
      </c>
    </row>
    <row r="91" spans="1:4" x14ac:dyDescent="0.25">
      <c r="A91" s="2" t="str">
        <f>"1.3.2.12.01- Micros/impressoras e acessorios"</f>
        <v>1.3.2.12.01- Micros/impressoras e acessorios</v>
      </c>
      <c r="B91" s="10">
        <v>2688473.03</v>
      </c>
      <c r="C91" s="10">
        <v>-1308.75</v>
      </c>
      <c r="D91" s="10">
        <v>2687164.28</v>
      </c>
    </row>
    <row r="92" spans="1:4" x14ac:dyDescent="0.25">
      <c r="A92" s="2" t="str">
        <f>"1.3.2.13.01- Imobilizacao em imoveis de terceiros"</f>
        <v>1.3.2.13.01- Imobilizacao em imoveis de terceiros</v>
      </c>
      <c r="B92" s="10">
        <v>1673924.44</v>
      </c>
      <c r="C92" s="10">
        <v>0</v>
      </c>
      <c r="D92" s="10">
        <v>1673924.44</v>
      </c>
    </row>
    <row r="93" spans="1:4" x14ac:dyDescent="0.25">
      <c r="A93" s="2" t="str">
        <f>"1.3.2.14.02- Estacao pampulha"</f>
        <v>1.3.2.14.02- Estacao pampulha</v>
      </c>
      <c r="B93" s="10">
        <v>43459.94</v>
      </c>
      <c r="C93" s="10">
        <v>0</v>
      </c>
      <c r="D93" s="10">
        <v>43459.94</v>
      </c>
    </row>
    <row r="94" spans="1:4" x14ac:dyDescent="0.25">
      <c r="A94" s="2" t="str">
        <f>"1.3.3.00.00- INTANGIVEL"</f>
        <v>1.3.3.00.00- INTANGIVEL</v>
      </c>
      <c r="B94" s="10">
        <v>891163.55</v>
      </c>
      <c r="C94" s="10">
        <v>0</v>
      </c>
      <c r="D94" s="10">
        <v>891163.55</v>
      </c>
    </row>
    <row r="95" spans="1:4" x14ac:dyDescent="0.25">
      <c r="A95" s="2" t="str">
        <f>"1.3.3.03.00- MARCAS E PATENTES"</f>
        <v>1.3.3.03.00- MARCAS E PATENTES</v>
      </c>
      <c r="B95" s="10">
        <v>808</v>
      </c>
      <c r="C95" s="10">
        <v>0</v>
      </c>
      <c r="D95" s="10">
        <v>808</v>
      </c>
    </row>
    <row r="96" spans="1:4" x14ac:dyDescent="0.25">
      <c r="A96" s="2" t="str">
        <f>"1.3.3.03.01- Marcas e Patentes"</f>
        <v>1.3.3.03.01- Marcas e Patentes</v>
      </c>
      <c r="B96" s="10">
        <v>808</v>
      </c>
      <c r="C96" s="10">
        <v>0</v>
      </c>
      <c r="D96" s="10">
        <v>808</v>
      </c>
    </row>
    <row r="97" spans="1:4" x14ac:dyDescent="0.25">
      <c r="A97" s="2" t="str">
        <f>"1.3.3.04.01- Programas e Sistemas"</f>
        <v>1.3.3.04.01- Programas e Sistemas</v>
      </c>
      <c r="B97" s="10">
        <v>890355.55</v>
      </c>
      <c r="C97" s="10">
        <v>0</v>
      </c>
      <c r="D97" s="10">
        <v>890355.55</v>
      </c>
    </row>
    <row r="98" spans="1:4" x14ac:dyDescent="0.25">
      <c r="A98" s="2" t="str">
        <f>"1.3.5.00.00- ( - )DEPRECIACAO E AMORTIZACAO"</f>
        <v>1.3.5.00.00- ( - )DEPRECIACAO E AMORTIZACAO</v>
      </c>
      <c r="B98" s="10">
        <v>-5553385.8300000001</v>
      </c>
      <c r="C98" s="10">
        <v>-8124.73</v>
      </c>
      <c r="D98" s="10">
        <v>-5561510.5599999996</v>
      </c>
    </row>
    <row r="99" spans="1:4" x14ac:dyDescent="0.25">
      <c r="A99" s="2" t="str">
        <f>"1.3.5.01.00- ( - ) DEPRECIACAO E AMORTIZACAO"</f>
        <v>1.3.5.01.00- ( - ) DEPRECIACAO E AMORTIZACAO</v>
      </c>
      <c r="B99" s="10">
        <v>-5553385.8300000001</v>
      </c>
      <c r="C99" s="10">
        <v>-8124.73</v>
      </c>
      <c r="D99" s="10">
        <v>-5561510.5599999996</v>
      </c>
    </row>
    <row r="100" spans="1:4" x14ac:dyDescent="0.25">
      <c r="A100" s="2" t="str">
        <f>"1.3.5.01.01- ( - ) Moveis e Utensilios"</f>
        <v>1.3.5.01.01- ( - ) Moveis e Utensilios</v>
      </c>
      <c r="B100" s="10">
        <v>-425197.98</v>
      </c>
      <c r="C100" s="10">
        <v>-1268.1300000000001</v>
      </c>
      <c r="D100" s="10">
        <v>-426466.11</v>
      </c>
    </row>
    <row r="101" spans="1:4" x14ac:dyDescent="0.25">
      <c r="A101" s="2" t="str">
        <f>"1.3.5.01.02- ( - ) Aparelhos/Equipamentos Diversos"</f>
        <v>1.3.5.01.02- ( - ) Aparelhos/Equipamentos Diversos</v>
      </c>
      <c r="B101" s="10">
        <v>-335697.63</v>
      </c>
      <c r="C101" s="10">
        <v>-3147.21</v>
      </c>
      <c r="D101" s="10">
        <v>-338844.84</v>
      </c>
    </row>
    <row r="102" spans="1:4" x14ac:dyDescent="0.25">
      <c r="A102" s="2" t="str">
        <f>"1.3.5.01.03- ( - ) Instalacoes Administrativas"</f>
        <v>1.3.5.01.03- ( - ) Instalacoes Administrativas</v>
      </c>
      <c r="B102" s="10">
        <v>-98294.93</v>
      </c>
      <c r="C102" s="10">
        <v>-102.62</v>
      </c>
      <c r="D102" s="10">
        <v>-98397.55</v>
      </c>
    </row>
    <row r="103" spans="1:4" x14ac:dyDescent="0.25">
      <c r="A103" s="2" t="str">
        <f>"1.3.5.01.05- ( - ) Impressoras e Micros"</f>
        <v>1.3.5.01.05- ( - ) Impressoras e Micros</v>
      </c>
      <c r="B103" s="10">
        <v>-2588801.39</v>
      </c>
      <c r="C103" s="10">
        <v>-6074.52</v>
      </c>
      <c r="D103" s="10">
        <v>-2594875.91</v>
      </c>
    </row>
    <row r="104" spans="1:4" x14ac:dyDescent="0.25">
      <c r="A104" s="2" t="str">
        <f>"1.3.5.01.06- ( - ) Maquinas e Equipamentos"</f>
        <v>1.3.5.01.06- ( - ) Maquinas e Equipamentos</v>
      </c>
      <c r="B104" s="10">
        <v>-154646.14000000001</v>
      </c>
      <c r="C104" s="10">
        <v>8711.9599999999991</v>
      </c>
      <c r="D104" s="10">
        <v>-145934.18</v>
      </c>
    </row>
    <row r="105" spans="1:4" x14ac:dyDescent="0.25">
      <c r="A105" s="2" t="str">
        <f>"1.3.5.01.07- ( - ) Equipamentos de Comunicacao"</f>
        <v>1.3.5.01.07- ( - ) Equipamentos de Comunicacao</v>
      </c>
      <c r="B105" s="10">
        <v>-191104.61</v>
      </c>
      <c r="C105" s="10">
        <v>341.98</v>
      </c>
      <c r="D105" s="10">
        <v>-190762.63</v>
      </c>
    </row>
    <row r="106" spans="1:4" x14ac:dyDescent="0.25">
      <c r="A106" s="2" t="str">
        <f>"1.3.5.01.08- ( - ) Instalacoes Operacionais"</f>
        <v>1.3.5.01.08- ( - ) Instalacoes Operacionais</v>
      </c>
      <c r="B106" s="10">
        <v>-64051.15</v>
      </c>
      <c r="C106" s="10">
        <v>-337.09</v>
      </c>
      <c r="D106" s="10">
        <v>-64388.24</v>
      </c>
    </row>
    <row r="107" spans="1:4" x14ac:dyDescent="0.25">
      <c r="A107" s="2" t="str">
        <f>"1.3.5.01.09- ( - ) Programas (Softwares)"</f>
        <v>1.3.5.01.09- ( - ) Programas (Softwares)</v>
      </c>
      <c r="B107" s="10">
        <v>-633910.39</v>
      </c>
      <c r="C107" s="10">
        <v>-612.5</v>
      </c>
      <c r="D107" s="10">
        <v>-634522.89</v>
      </c>
    </row>
    <row r="108" spans="1:4" x14ac:dyDescent="0.25">
      <c r="A108" s="2" t="str">
        <f>"1.3.5.01.14- ( - ) Ferramentas"</f>
        <v>1.3.5.01.14- ( - ) Ferramentas</v>
      </c>
      <c r="B108" s="10">
        <v>-6695.32</v>
      </c>
      <c r="C108" s="10">
        <v>-56.85</v>
      </c>
      <c r="D108" s="10">
        <v>-6752.17</v>
      </c>
    </row>
    <row r="109" spans="1:4" x14ac:dyDescent="0.25">
      <c r="A109" s="2" t="str">
        <f>"1.3.5.01.15- ( - ) Imobilizacoes em Imov. Terceiros"</f>
        <v>1.3.5.01.15- ( - ) Imobilizacoes em Imov. Terceiros</v>
      </c>
      <c r="B109" s="10">
        <v>-1054986.29</v>
      </c>
      <c r="C109" s="10">
        <v>-5579.75</v>
      </c>
      <c r="D109" s="10">
        <v>-1060566.04</v>
      </c>
    </row>
    <row r="110" spans="1:4" x14ac:dyDescent="0.25">
      <c r="A110" s="2" t="str">
        <f>""</f>
        <v/>
      </c>
      <c r="B110" s="3" t="str">
        <f>""</f>
        <v/>
      </c>
      <c r="C110" s="3" t="str">
        <f>""</f>
        <v/>
      </c>
      <c r="D110" s="3" t="str">
        <f>""</f>
        <v/>
      </c>
    </row>
    <row r="111" spans="1:4" x14ac:dyDescent="0.25">
      <c r="A111" s="2" t="str">
        <f>"PASSIVO"</f>
        <v>PASSIVO</v>
      </c>
      <c r="B111" s="3" t="str">
        <f>""</f>
        <v/>
      </c>
      <c r="C111" s="3" t="str">
        <f>""</f>
        <v/>
      </c>
      <c r="D111" s="3" t="str">
        <f>""</f>
        <v/>
      </c>
    </row>
    <row r="112" spans="1:4" x14ac:dyDescent="0.25">
      <c r="A112" s="2" t="str">
        <f>"2.0.0.00.00- PASSIVO"</f>
        <v>2.0.0.00.00- PASSIVO</v>
      </c>
      <c r="B112" s="10">
        <v>32331547.02</v>
      </c>
      <c r="C112" s="10">
        <v>1197287.06</v>
      </c>
      <c r="D112" s="10">
        <v>33528834.079999998</v>
      </c>
    </row>
    <row r="113" spans="1:4" x14ac:dyDescent="0.25">
      <c r="A113" s="2" t="str">
        <f>"2.1.0.00.00- PASSIVO CIRCULANTE"</f>
        <v>2.1.0.00.00- PASSIVO CIRCULANTE</v>
      </c>
      <c r="B113" s="10">
        <v>55690941.770000003</v>
      </c>
      <c r="C113" s="10">
        <v>1278223.17</v>
      </c>
      <c r="D113" s="10">
        <v>56969164.939999998</v>
      </c>
    </row>
    <row r="114" spans="1:4" x14ac:dyDescent="0.25">
      <c r="A114" s="2" t="str">
        <f>"2.1.1.00.00- OBRIGACOES COM PESSOAL"</f>
        <v>2.1.1.00.00- OBRIGACOES COM PESSOAL</v>
      </c>
      <c r="B114" s="10">
        <v>10415373.390000001</v>
      </c>
      <c r="C114" s="10">
        <v>371451.58</v>
      </c>
      <c r="D114" s="10">
        <v>10786824.970000001</v>
      </c>
    </row>
    <row r="115" spans="1:4" x14ac:dyDescent="0.25">
      <c r="A115" s="2" t="str">
        <f>"2.1.1.01.00- SALARIOS A PAGAR"</f>
        <v>2.1.1.01.00- SALARIOS A PAGAR</v>
      </c>
      <c r="B115" s="10">
        <v>10415373.390000001</v>
      </c>
      <c r="C115" s="10">
        <v>371451.58</v>
      </c>
      <c r="D115" s="10">
        <v>10786824.970000001</v>
      </c>
    </row>
    <row r="116" spans="1:4" x14ac:dyDescent="0.25">
      <c r="A116" s="2" t="str">
        <f>"2.1.1.01.01- Salarios a Pagar"</f>
        <v>2.1.1.01.01- Salarios a Pagar</v>
      </c>
      <c r="B116" s="10">
        <v>3717519.9</v>
      </c>
      <c r="C116" s="10">
        <v>-261789.55</v>
      </c>
      <c r="D116" s="10">
        <v>3455730.35</v>
      </c>
    </row>
    <row r="117" spans="1:4" x14ac:dyDescent="0.25">
      <c r="A117" s="2" t="str">
        <f>"2.1.1.01.02- Provisão 13º Salário"</f>
        <v>2.1.1.01.02- Provisão 13º Salário</v>
      </c>
      <c r="B117" s="10">
        <v>1156747.47</v>
      </c>
      <c r="C117" s="10">
        <v>377213.73</v>
      </c>
      <c r="D117" s="10">
        <v>1533961.2</v>
      </c>
    </row>
    <row r="118" spans="1:4" x14ac:dyDescent="0.25">
      <c r="A118" s="2" t="str">
        <f>"2.1.1.01.03- Ferias a pagar"</f>
        <v>2.1.1.01.03- Ferias a pagar</v>
      </c>
      <c r="B118" s="10">
        <v>15564.73</v>
      </c>
      <c r="C118" s="10">
        <v>50069.69</v>
      </c>
      <c r="D118" s="10">
        <v>65634.42</v>
      </c>
    </row>
    <row r="119" spans="1:4" x14ac:dyDescent="0.25">
      <c r="A119" s="2" t="str">
        <f>"2.1.1.01.05- Rescisoes a Pagar"</f>
        <v>2.1.1.01.05- Rescisoes a Pagar</v>
      </c>
      <c r="B119" s="10">
        <v>21791.98</v>
      </c>
      <c r="C119" s="10">
        <v>38.97</v>
      </c>
      <c r="D119" s="10">
        <v>21830.95</v>
      </c>
    </row>
    <row r="120" spans="1:4" x14ac:dyDescent="0.25">
      <c r="A120" s="2" t="str">
        <f>"2.1.1.01.09- Provisao de Ferias"</f>
        <v>2.1.1.01.09- Provisao de Ferias</v>
      </c>
      <c r="B120" s="10">
        <v>5496414.0199999996</v>
      </c>
      <c r="C120" s="10">
        <v>205918.74</v>
      </c>
      <c r="D120" s="10">
        <v>5702332.7599999998</v>
      </c>
    </row>
    <row r="121" spans="1:4" x14ac:dyDescent="0.25">
      <c r="A121" s="2" t="str">
        <f>"2.1.1.01.10- Diferencas Salariais"</f>
        <v>2.1.1.01.10- Diferencas Salariais</v>
      </c>
      <c r="B121" s="10">
        <v>7335.29</v>
      </c>
      <c r="C121" s="10">
        <v>0</v>
      </c>
      <c r="D121" s="10">
        <v>7335.29</v>
      </c>
    </row>
    <row r="122" spans="1:4" x14ac:dyDescent="0.25">
      <c r="A122" s="2" t="str">
        <f>"2.1.2.00.00- OBRIGACOES SOCIAIS A CURTO PRAZO"</f>
        <v>2.1.2.00.00- OBRIGACOES SOCIAIS A CURTO PRAZO</v>
      </c>
      <c r="B122" s="10">
        <v>5647536.7000000002</v>
      </c>
      <c r="C122" s="10">
        <v>-225717.85</v>
      </c>
      <c r="D122" s="10">
        <v>5421818.8499999996</v>
      </c>
    </row>
    <row r="123" spans="1:4" x14ac:dyDescent="0.25">
      <c r="A123" s="2" t="str">
        <f>"2.1.2.01.00- OBRIGACOES SOCIAIS A RECOLHER"</f>
        <v>2.1.2.01.00- OBRIGACOES SOCIAIS A RECOLHER</v>
      </c>
      <c r="B123" s="10">
        <v>5647536.7000000002</v>
      </c>
      <c r="C123" s="10">
        <v>-225717.85</v>
      </c>
      <c r="D123" s="10">
        <v>5421818.8499999996</v>
      </c>
    </row>
    <row r="124" spans="1:4" x14ac:dyDescent="0.25">
      <c r="A124" s="2" t="str">
        <f>"2.1.2.01.01- INSS a recolher s/Folha Pagto"</f>
        <v>2.1.2.01.01- INSS a recolher s/Folha Pagto</v>
      </c>
      <c r="B124" s="10">
        <v>2093503.39</v>
      </c>
      <c r="C124" s="10">
        <v>-287100.75</v>
      </c>
      <c r="D124" s="10">
        <v>1806402.64</v>
      </c>
    </row>
    <row r="125" spans="1:4" x14ac:dyDescent="0.25">
      <c r="A125" s="2" t="str">
        <f>"2.1.2.01.02- FGTS a recolher s/Folha Pagto"</f>
        <v>2.1.2.01.02- FGTS a recolher s/Folha Pagto</v>
      </c>
      <c r="B125" s="10">
        <v>478623.44</v>
      </c>
      <c r="C125" s="10">
        <v>-71515.45</v>
      </c>
      <c r="D125" s="10">
        <v>407107.99</v>
      </c>
    </row>
    <row r="126" spans="1:4" x14ac:dyDescent="0.25">
      <c r="A126" s="2" t="str">
        <f>"2.1.2.01.05- Contribuicao Sindical"</f>
        <v>2.1.2.01.05- Contribuicao Sindical</v>
      </c>
      <c r="B126" s="10">
        <v>115067.9</v>
      </c>
      <c r="C126" s="10">
        <v>-109071.3</v>
      </c>
      <c r="D126" s="10">
        <v>5996.6</v>
      </c>
    </row>
    <row r="127" spans="1:4" x14ac:dyDescent="0.25">
      <c r="A127" s="2" t="str">
        <f>"2.1.2.01.06- INSS s/Provisao de Ferias"</f>
        <v>2.1.2.01.06- INSS s/Provisao de Ferias</v>
      </c>
      <c r="B127" s="10">
        <v>1596175.95</v>
      </c>
      <c r="C127" s="10">
        <v>59422.63</v>
      </c>
      <c r="D127" s="10">
        <v>1655598.58</v>
      </c>
    </row>
    <row r="128" spans="1:4" x14ac:dyDescent="0.25">
      <c r="A128" s="2" t="str">
        <f>"2.1.2.01.07- AEB - Assoc. Empreg. BHTRANS"</f>
        <v>2.1.2.01.07- AEB - Assoc. Empreg. BHTRANS</v>
      </c>
      <c r="B128" s="10">
        <v>5177.84</v>
      </c>
      <c r="C128" s="10">
        <v>94.8</v>
      </c>
      <c r="D128" s="10">
        <v>5272.64</v>
      </c>
    </row>
    <row r="129" spans="1:4" x14ac:dyDescent="0.25">
      <c r="A129" s="2" t="str">
        <f>"2.1.2.01.10- INSS s/Provisao de 13.Salario"</f>
        <v>2.1.2.01.10- INSS s/Provisao de 13.Salario</v>
      </c>
      <c r="B129" s="10">
        <v>336083.56</v>
      </c>
      <c r="C129" s="10">
        <v>109392.97</v>
      </c>
      <c r="D129" s="10">
        <v>445476.53</v>
      </c>
    </row>
    <row r="130" spans="1:4" x14ac:dyDescent="0.25">
      <c r="A130" s="2" t="str">
        <f>"2.1.2.01.11- FGTS s/Provisao de 13.Salario"</f>
        <v>2.1.2.01.11- FGTS s/Provisao de 13.Salario</v>
      </c>
      <c r="B130" s="10">
        <v>67242.44</v>
      </c>
      <c r="C130" s="10">
        <v>18372.009999999998</v>
      </c>
      <c r="D130" s="10">
        <v>85614.45</v>
      </c>
    </row>
    <row r="131" spans="1:4" x14ac:dyDescent="0.25">
      <c r="A131" s="2" t="str">
        <f>"2.1.2.01.12- FGTS s/Provisao de Ferias"</f>
        <v>2.1.2.01.12- FGTS s/Provisao de Ferias</v>
      </c>
      <c r="B131" s="10">
        <v>439698.42</v>
      </c>
      <c r="C131" s="10">
        <v>16468.27</v>
      </c>
      <c r="D131" s="10">
        <v>456166.69</v>
      </c>
    </row>
    <row r="132" spans="1:4" x14ac:dyDescent="0.25">
      <c r="A132" s="2" t="str">
        <f>"2.1.2.01.13- Contribuicao ao PAMEH"</f>
        <v>2.1.2.01.13- Contribuicao ao PAMEH</v>
      </c>
      <c r="B132" s="10">
        <v>362799.81</v>
      </c>
      <c r="C132" s="10">
        <v>3258.69</v>
      </c>
      <c r="D132" s="10">
        <v>366058.5</v>
      </c>
    </row>
    <row r="133" spans="1:4" x14ac:dyDescent="0.25">
      <c r="A133" s="2" t="str">
        <f>"2.1.2.01.15- Crediserv-BH"</f>
        <v>2.1.2.01.15- Crediserv-BH</v>
      </c>
      <c r="B133" s="10">
        <v>17894.36</v>
      </c>
      <c r="C133" s="10">
        <v>27.88</v>
      </c>
      <c r="D133" s="10">
        <v>17922.240000000002</v>
      </c>
    </row>
    <row r="134" spans="1:4" x14ac:dyDescent="0.25">
      <c r="A134" s="2" t="str">
        <f>"2.1.2.01.16- INSS Fonte a Recolher - PJ"</f>
        <v>2.1.2.01.16- INSS Fonte a Recolher - PJ</v>
      </c>
      <c r="B134" s="10">
        <v>133935.9</v>
      </c>
      <c r="C134" s="10">
        <v>34701.870000000003</v>
      </c>
      <c r="D134" s="10">
        <v>168637.77</v>
      </c>
    </row>
    <row r="135" spans="1:4" x14ac:dyDescent="0.25">
      <c r="A135" s="2" t="str">
        <f>"2.1.2.01.18- INSS Fonte a Recolher - P F"</f>
        <v>2.1.2.01.18- INSS Fonte a Recolher - P F</v>
      </c>
      <c r="B135" s="10">
        <v>783.69</v>
      </c>
      <c r="C135" s="10">
        <v>230.53</v>
      </c>
      <c r="D135" s="10">
        <v>1014.22</v>
      </c>
    </row>
    <row r="136" spans="1:4" x14ac:dyDescent="0.25">
      <c r="A136" s="2" t="str">
        <f>"2.1.2.01.19- ASFIM - PBH"</f>
        <v>2.1.2.01.19- ASFIM - PBH</v>
      </c>
      <c r="B136" s="10">
        <v>550</v>
      </c>
      <c r="C136" s="10">
        <v>0</v>
      </c>
      <c r="D136" s="10">
        <v>550</v>
      </c>
    </row>
    <row r="137" spans="1:4" x14ac:dyDescent="0.25">
      <c r="A137" s="2" t="str">
        <f>"2.1.3.00.00- OBRIGACOES FISCAIS A CURTO PRAZO"</f>
        <v>2.1.3.00.00- OBRIGACOES FISCAIS A CURTO PRAZO</v>
      </c>
      <c r="B137" s="10">
        <v>1395301.79</v>
      </c>
      <c r="C137" s="10">
        <v>48670.38</v>
      </c>
      <c r="D137" s="10">
        <v>1443972.17</v>
      </c>
    </row>
    <row r="138" spans="1:4" x14ac:dyDescent="0.25">
      <c r="A138" s="2" t="str">
        <f>"2.1.3.01.00- IMPOSTOS E TAXAS A RECOLHER"</f>
        <v>2.1.3.01.00- IMPOSTOS E TAXAS A RECOLHER</v>
      </c>
      <c r="B138" s="10">
        <v>1395301.79</v>
      </c>
      <c r="C138" s="10">
        <v>48670.38</v>
      </c>
      <c r="D138" s="10">
        <v>1443972.17</v>
      </c>
    </row>
    <row r="139" spans="1:4" x14ac:dyDescent="0.25">
      <c r="A139" s="2" t="str">
        <f>"2.1.3.01.01- IRRF Fonte Folha Pagto"</f>
        <v>2.1.3.01.01- IRRF Fonte Folha Pagto</v>
      </c>
      <c r="B139" s="10">
        <v>432818.57</v>
      </c>
      <c r="C139" s="10">
        <v>108233.84</v>
      </c>
      <c r="D139" s="10">
        <v>541052.41</v>
      </c>
    </row>
    <row r="140" spans="1:4" x14ac:dyDescent="0.25">
      <c r="A140" s="2" t="str">
        <f>"2.1.3.01.03- IRRF Fonte - Pessoa  Juridica e Física"</f>
        <v>2.1.3.01.03- IRRF Fonte - Pessoa  Juridica e Física</v>
      </c>
      <c r="B140" s="10">
        <v>12942.77</v>
      </c>
      <c r="C140" s="10">
        <v>4689.22</v>
      </c>
      <c r="D140" s="10">
        <v>17631.990000000002</v>
      </c>
    </row>
    <row r="141" spans="1:4" x14ac:dyDescent="0.25">
      <c r="A141" s="2" t="str">
        <f>"2.1.3.01.04- ISS Retido Fonte PF"</f>
        <v>2.1.3.01.04- ISS Retido Fonte PF</v>
      </c>
      <c r="B141" s="10">
        <v>0</v>
      </c>
      <c r="C141" s="10">
        <v>92.5</v>
      </c>
      <c r="D141" s="10">
        <v>92.5</v>
      </c>
    </row>
    <row r="142" spans="1:4" x14ac:dyDescent="0.25">
      <c r="A142" s="2" t="str">
        <f>"2.1.3.01.05- ISS S/ Faturamento"</f>
        <v>2.1.3.01.05- ISS S/ Faturamento</v>
      </c>
      <c r="B142" s="10">
        <v>1804.24</v>
      </c>
      <c r="C142" s="10">
        <v>-121.02</v>
      </c>
      <c r="D142" s="10">
        <v>1683.22</v>
      </c>
    </row>
    <row r="143" spans="1:4" x14ac:dyDescent="0.25">
      <c r="A143" s="2" t="str">
        <f>"2.1.3.01.07- COFINS a Recolher"</f>
        <v>2.1.3.01.07- COFINS a Recolher</v>
      </c>
      <c r="B143" s="10">
        <v>712152.58</v>
      </c>
      <c r="C143" s="10">
        <v>-66800.98</v>
      </c>
      <c r="D143" s="10">
        <v>645351.6</v>
      </c>
    </row>
    <row r="144" spans="1:4" x14ac:dyDescent="0.25">
      <c r="A144" s="2" t="str">
        <f>"2.1.3.01.08- PIS a Recolher"</f>
        <v>2.1.3.01.08- PIS a Recolher</v>
      </c>
      <c r="B144" s="10">
        <v>154454.20000000001</v>
      </c>
      <c r="C144" s="10">
        <v>-14506.68</v>
      </c>
      <c r="D144" s="10">
        <v>139947.51999999999</v>
      </c>
    </row>
    <row r="145" spans="1:4" x14ac:dyDescent="0.25">
      <c r="A145" s="2" t="str">
        <f>"2.1.3.01.09- ISS Fonte a Recolher P.Juridica"</f>
        <v>2.1.3.01.09- ISS Fonte a Recolher P.Juridica</v>
      </c>
      <c r="B145" s="10">
        <v>9168.11</v>
      </c>
      <c r="C145" s="10">
        <v>-1718.7</v>
      </c>
      <c r="D145" s="10">
        <v>7449.41</v>
      </c>
    </row>
    <row r="146" spans="1:4" x14ac:dyDescent="0.25">
      <c r="A146" s="2" t="str">
        <f>"2.1.3.01.12- CSLL-COFINS-PIS - FONTE"</f>
        <v>2.1.3.01.12- CSLL-COFINS-PIS - FONTE</v>
      </c>
      <c r="B146" s="10">
        <v>71961.320000000007</v>
      </c>
      <c r="C146" s="10">
        <v>18802.2</v>
      </c>
      <c r="D146" s="10">
        <v>90763.520000000004</v>
      </c>
    </row>
    <row r="147" spans="1:4" x14ac:dyDescent="0.25">
      <c r="A147" s="2" t="str">
        <f>"2.1.4.00.00- OUTRAS OBRIGACOES A CURTO PRAZO"</f>
        <v>2.1.4.00.00- OUTRAS OBRIGACOES A CURTO PRAZO</v>
      </c>
      <c r="B147" s="10">
        <v>27095727.280000001</v>
      </c>
      <c r="C147" s="10">
        <v>1136529.0900000001</v>
      </c>
      <c r="D147" s="10">
        <v>28232256.370000001</v>
      </c>
    </row>
    <row r="148" spans="1:4" x14ac:dyDescent="0.25">
      <c r="A148" s="2" t="str">
        <f>"2.1.4.01.00- FORNECEDORES"</f>
        <v>2.1.4.01.00- FORNECEDORES</v>
      </c>
      <c r="B148" s="10">
        <v>2560137.04</v>
      </c>
      <c r="C148" s="10">
        <v>342347.98</v>
      </c>
      <c r="D148" s="10">
        <v>2902485.02</v>
      </c>
    </row>
    <row r="149" spans="1:4" x14ac:dyDescent="0.25">
      <c r="A149" s="2" t="str">
        <f>"2.1.4.01.99- Fornecedores"</f>
        <v>2.1.4.01.99- Fornecedores</v>
      </c>
      <c r="B149" s="10">
        <v>2560137.04</v>
      </c>
      <c r="C149" s="10">
        <v>342347.98</v>
      </c>
      <c r="D149" s="10">
        <v>2902485.02</v>
      </c>
    </row>
    <row r="150" spans="1:4" x14ac:dyDescent="0.25">
      <c r="A150" s="2" t="str">
        <f>"2.1.4.02.00- CONTAS A PAGAR"</f>
        <v>2.1.4.02.00- CONTAS A PAGAR</v>
      </c>
      <c r="B150" s="10">
        <v>323066.23</v>
      </c>
      <c r="C150" s="10">
        <v>-28610.39</v>
      </c>
      <c r="D150" s="10">
        <v>294455.84000000003</v>
      </c>
    </row>
    <row r="151" spans="1:4" x14ac:dyDescent="0.25">
      <c r="A151" s="2" t="str">
        <f>"2.1.4.02.01- Emprestimo Consignado - Bradesco"</f>
        <v>2.1.4.02.01- Emprestimo Consignado - Bradesco</v>
      </c>
      <c r="B151" s="10">
        <v>39221.79</v>
      </c>
      <c r="C151" s="10">
        <v>6988.44</v>
      </c>
      <c r="D151" s="10">
        <v>46210.23</v>
      </c>
    </row>
    <row r="152" spans="1:4" x14ac:dyDescent="0.25">
      <c r="A152" s="2" t="str">
        <f>"2.1.4.02.03- Emprestimo Consignado - CEF"</f>
        <v>2.1.4.02.03- Emprestimo Consignado - CEF</v>
      </c>
      <c r="B152" s="10">
        <v>41296.400000000001</v>
      </c>
      <c r="C152" s="10">
        <v>-1759.63</v>
      </c>
      <c r="D152" s="10">
        <v>39536.769999999997</v>
      </c>
    </row>
    <row r="153" spans="1:4" x14ac:dyDescent="0.25">
      <c r="A153" s="2" t="str">
        <f>"2.1.4.02.04- Emprestimo Consignado - B.Brasil"</f>
        <v>2.1.4.02.04- Emprestimo Consignado - B.Brasil</v>
      </c>
      <c r="B153" s="10">
        <v>77838.05</v>
      </c>
      <c r="C153" s="10">
        <v>-2620.19</v>
      </c>
      <c r="D153" s="10">
        <v>75217.86</v>
      </c>
    </row>
    <row r="154" spans="1:4" x14ac:dyDescent="0.25">
      <c r="A154" s="2" t="str">
        <f>"2.1.4.02.05- Emprestimo Consignado-Banco Alfa"</f>
        <v>2.1.4.02.05- Emprestimo Consignado-Banco Alfa</v>
      </c>
      <c r="B154" s="10">
        <v>76084.25</v>
      </c>
      <c r="C154" s="10">
        <v>-3951.34</v>
      </c>
      <c r="D154" s="10">
        <v>72132.91</v>
      </c>
    </row>
    <row r="155" spans="1:4" x14ac:dyDescent="0.25">
      <c r="A155" s="2" t="str">
        <f>"2.1.4.02.07- Emprestimo Consignado - B. Safra"</f>
        <v>2.1.4.02.07- Emprestimo Consignado - B. Safra</v>
      </c>
      <c r="B155" s="10">
        <v>22400.639999999999</v>
      </c>
      <c r="C155" s="10">
        <v>-661.21</v>
      </c>
      <c r="D155" s="10">
        <v>21739.43</v>
      </c>
    </row>
    <row r="156" spans="1:4" x14ac:dyDescent="0.25">
      <c r="A156" s="2" t="str">
        <f>"2.1.4.02.08- Emprestimo Consignado - BMG"</f>
        <v>2.1.4.02.08- Emprestimo Consignado - BMG</v>
      </c>
      <c r="B156" s="10">
        <v>1048.25</v>
      </c>
      <c r="C156" s="10">
        <v>0</v>
      </c>
      <c r="D156" s="10">
        <v>1048.25</v>
      </c>
    </row>
    <row r="157" spans="1:4" x14ac:dyDescent="0.25">
      <c r="A157" s="2" t="str">
        <f>"2.1.4.02.09- Emprestimo Consignado - BMC"</f>
        <v>2.1.4.02.09- Emprestimo Consignado - BMC</v>
      </c>
      <c r="B157" s="10">
        <v>692.55</v>
      </c>
      <c r="C157" s="10">
        <v>0</v>
      </c>
      <c r="D157" s="10">
        <v>692.55</v>
      </c>
    </row>
    <row r="158" spans="1:4" x14ac:dyDescent="0.25">
      <c r="A158" s="2" t="str">
        <f>"2.1.4.02.10- Cartão - BMG Card"</f>
        <v>2.1.4.02.10- Cartão - BMG Card</v>
      </c>
      <c r="B158" s="10">
        <v>7859.12</v>
      </c>
      <c r="C158" s="10">
        <v>291.47000000000003</v>
      </c>
      <c r="D158" s="10">
        <v>8150.59</v>
      </c>
    </row>
    <row r="159" spans="1:4" x14ac:dyDescent="0.25">
      <c r="A159" s="2" t="str">
        <f>"2.1.4.02.12- Custas judiciais"</f>
        <v>2.1.4.02.12- Custas judiciais</v>
      </c>
      <c r="B159" s="10">
        <v>1900</v>
      </c>
      <c r="C159" s="10">
        <v>-1900</v>
      </c>
      <c r="D159" s="10">
        <v>0</v>
      </c>
    </row>
    <row r="160" spans="1:4" x14ac:dyDescent="0.25">
      <c r="A160" s="2" t="str">
        <f>"2.1.4.02.99- Contas a Pagar"</f>
        <v>2.1.4.02.99- Contas a Pagar</v>
      </c>
      <c r="B160" s="10">
        <v>54725.18</v>
      </c>
      <c r="C160" s="10">
        <v>-24997.93</v>
      </c>
      <c r="D160" s="10">
        <v>29727.25</v>
      </c>
    </row>
    <row r="161" spans="1:4" x14ac:dyDescent="0.25">
      <c r="A161" s="2" t="str">
        <f>"2.1.4.03.00- CREDORES DIVERSOS"</f>
        <v>2.1.4.03.00- CREDORES DIVERSOS</v>
      </c>
      <c r="B161" s="10">
        <v>23656046.129999999</v>
      </c>
      <c r="C161" s="10">
        <v>822791.5</v>
      </c>
      <c r="D161" s="10">
        <v>24478837.629999999</v>
      </c>
    </row>
    <row r="162" spans="1:4" x14ac:dyDescent="0.25">
      <c r="A162" s="2" t="str">
        <f>"2.1.4.03.07- Adiantamento Acionista - Municipio BH"</f>
        <v>2.1.4.03.07- Adiantamento Acionista - Municipio BH</v>
      </c>
      <c r="B162" s="10">
        <v>22838617.57</v>
      </c>
      <c r="C162" s="10">
        <v>833200.2</v>
      </c>
      <c r="D162" s="10">
        <v>23671817.77</v>
      </c>
    </row>
    <row r="163" spans="1:4" x14ac:dyDescent="0.25">
      <c r="A163" s="2" t="str">
        <f>"2.1.4.03.17- Adiantamento de Clientes"</f>
        <v>2.1.4.03.17- Adiantamento de Clientes</v>
      </c>
      <c r="B163" s="10">
        <v>817428.56</v>
      </c>
      <c r="C163" s="10">
        <v>-10408.700000000001</v>
      </c>
      <c r="D163" s="10">
        <v>807019.86</v>
      </c>
    </row>
    <row r="164" spans="1:4" x14ac:dyDescent="0.25">
      <c r="A164" s="2" t="str">
        <f>"2.1.4.04.00- CAUCAO DE TERCEIROS/LEILAO"</f>
        <v>2.1.4.04.00- CAUCAO DE TERCEIROS/LEILAO</v>
      </c>
      <c r="B164" s="10">
        <v>556477.88</v>
      </c>
      <c r="C164" s="10">
        <v>0</v>
      </c>
      <c r="D164" s="10">
        <v>556477.88</v>
      </c>
    </row>
    <row r="165" spans="1:4" x14ac:dyDescent="0.25">
      <c r="A165" s="2" t="str">
        <f>"2.1.4.04.98- Leilões"</f>
        <v>2.1.4.04.98- Leilões</v>
      </c>
      <c r="B165" s="10">
        <v>373057.34</v>
      </c>
      <c r="C165" s="10">
        <v>0</v>
      </c>
      <c r="D165" s="10">
        <v>373057.34</v>
      </c>
    </row>
    <row r="166" spans="1:4" x14ac:dyDescent="0.25">
      <c r="A166" s="2" t="str">
        <f>"2.1.4.04.99- Caucao de Terceiros"</f>
        <v>2.1.4.04.99- Caucao de Terceiros</v>
      </c>
      <c r="B166" s="10">
        <v>183420.54</v>
      </c>
      <c r="C166" s="10">
        <v>0</v>
      </c>
      <c r="D166" s="10">
        <v>183420.54</v>
      </c>
    </row>
    <row r="167" spans="1:4" x14ac:dyDescent="0.25">
      <c r="A167" s="2" t="str">
        <f>"2.1.6.00.00- OBRIGACOES VINC. A PAGAR-PAMEH"</f>
        <v>2.1.6.00.00- OBRIGACOES VINC. A PAGAR-PAMEH</v>
      </c>
      <c r="B167" s="10">
        <v>101349.1</v>
      </c>
      <c r="C167" s="10">
        <v>-52710.03</v>
      </c>
      <c r="D167" s="10">
        <v>48639.07</v>
      </c>
    </row>
    <row r="168" spans="1:4" x14ac:dyDescent="0.25">
      <c r="A168" s="2" t="str">
        <f>"2.1.6.01.00- OBRIGACOES VINC. -PAMEH"</f>
        <v>2.1.6.01.00- OBRIGACOES VINC. -PAMEH</v>
      </c>
      <c r="B168" s="10">
        <v>101349.1</v>
      </c>
      <c r="C168" s="10">
        <v>-52710.03</v>
      </c>
      <c r="D168" s="10">
        <v>48639.07</v>
      </c>
    </row>
    <row r="169" spans="1:4" x14ac:dyDescent="0.25">
      <c r="A169" s="2" t="str">
        <f>"2.1.6.01.01- Obrigacoes Vinculadas - PAMEH"</f>
        <v>2.1.6.01.01- Obrigacoes Vinculadas - PAMEH</v>
      </c>
      <c r="B169" s="10">
        <v>101349.1</v>
      </c>
      <c r="C169" s="10">
        <v>-52710.03</v>
      </c>
      <c r="D169" s="10">
        <v>48639.07</v>
      </c>
    </row>
    <row r="170" spans="1:4" x14ac:dyDescent="0.25">
      <c r="A170" s="2" t="str">
        <f>"2.1.8.00.00- CONTINGÊNCIAS TRABALHISTAS"</f>
        <v>2.1.8.00.00- CONTINGÊNCIAS TRABALHISTAS</v>
      </c>
      <c r="B170" s="10">
        <v>11035653.51</v>
      </c>
      <c r="C170" s="10">
        <v>0</v>
      </c>
      <c r="D170" s="10">
        <v>11035653.51</v>
      </c>
    </row>
    <row r="171" spans="1:4" x14ac:dyDescent="0.25">
      <c r="A171" s="2" t="str">
        <f>"2.1.8.01.00- CONTINGÊNCIAS TRABALHISTAS"</f>
        <v>2.1.8.01.00- CONTINGÊNCIAS TRABALHISTAS</v>
      </c>
      <c r="B171" s="10">
        <v>11035653.51</v>
      </c>
      <c r="C171" s="10">
        <v>0</v>
      </c>
      <c r="D171" s="10">
        <v>11035653.51</v>
      </c>
    </row>
    <row r="172" spans="1:4" x14ac:dyDescent="0.25">
      <c r="A172" s="2" t="str">
        <f>"2.1.8.01.01- Contingências Trabalhistas - ACT"</f>
        <v>2.1.8.01.01- Contingências Trabalhistas - ACT</v>
      </c>
      <c r="B172" s="10">
        <v>11035653.51</v>
      </c>
      <c r="C172" s="10">
        <v>0</v>
      </c>
      <c r="D172" s="10">
        <v>11035653.51</v>
      </c>
    </row>
    <row r="173" spans="1:4" x14ac:dyDescent="0.25">
      <c r="A173" s="2" t="str">
        <f>"2.2.0.00.00- PASSIVO NAO CIRCULANTE"</f>
        <v>2.2.0.00.00- PASSIVO NAO CIRCULANTE</v>
      </c>
      <c r="B173" s="10">
        <v>40552609.810000002</v>
      </c>
      <c r="C173" s="10">
        <v>-80936.11</v>
      </c>
      <c r="D173" s="10">
        <v>40471673.700000003</v>
      </c>
    </row>
    <row r="174" spans="1:4" x14ac:dyDescent="0.25">
      <c r="A174" s="2" t="str">
        <f>"2.2.4.00.00- OUTRAS OBRIGACOES A LONGO PRAZO"</f>
        <v>2.2.4.00.00- OUTRAS OBRIGACOES A LONGO PRAZO</v>
      </c>
      <c r="B174" s="10">
        <v>35783787.479999997</v>
      </c>
      <c r="C174" s="10">
        <v>0</v>
      </c>
      <c r="D174" s="10">
        <v>35783787.479999997</v>
      </c>
    </row>
    <row r="175" spans="1:4" x14ac:dyDescent="0.25">
      <c r="A175" s="2" t="str">
        <f>"2.2.4.01.00- CREDORES DIVERSOS"</f>
        <v>2.2.4.01.00- CREDORES DIVERSOS</v>
      </c>
      <c r="B175" s="10">
        <v>15048557.66</v>
      </c>
      <c r="C175" s="10">
        <v>0</v>
      </c>
      <c r="D175" s="10">
        <v>15048557.66</v>
      </c>
    </row>
    <row r="176" spans="1:4" x14ac:dyDescent="0.25">
      <c r="A176" s="2" t="str">
        <f>"2.2.4.01.04- Provisão para Contingências Fiscais"</f>
        <v>2.2.4.01.04- Provisão para Contingências Fiscais</v>
      </c>
      <c r="B176" s="10">
        <v>14106702.720000001</v>
      </c>
      <c r="C176" s="10">
        <v>0</v>
      </c>
      <c r="D176" s="10">
        <v>14106702.720000001</v>
      </c>
    </row>
    <row r="177" spans="1:4" x14ac:dyDescent="0.25">
      <c r="A177" s="2" t="str">
        <f>"2.2.4.01.05- INSS Segurados"</f>
        <v>2.2.4.01.05- INSS Segurados</v>
      </c>
      <c r="B177" s="10">
        <v>941854.94</v>
      </c>
      <c r="C177" s="10">
        <v>0</v>
      </c>
      <c r="D177" s="10">
        <v>941854.94</v>
      </c>
    </row>
    <row r="178" spans="1:4" x14ac:dyDescent="0.25">
      <c r="A178" s="2" t="str">
        <f>"2.2.4.04.00- ACOES JUDICIAIS E TRABALHISTAS"</f>
        <v>2.2.4.04.00- ACOES JUDICIAIS E TRABALHISTAS</v>
      </c>
      <c r="B178" s="10">
        <v>20735229.82</v>
      </c>
      <c r="C178" s="10">
        <v>0</v>
      </c>
      <c r="D178" s="10">
        <v>20735229.82</v>
      </c>
    </row>
    <row r="179" spans="1:4" x14ac:dyDescent="0.25">
      <c r="A179" s="2" t="str">
        <f>"2.2.4.04.01- Acoes judiciais"</f>
        <v>2.2.4.04.01- Acoes judiciais</v>
      </c>
      <c r="B179" s="10">
        <v>16358367.48</v>
      </c>
      <c r="C179" s="10">
        <v>0</v>
      </c>
      <c r="D179" s="10">
        <v>16358367.48</v>
      </c>
    </row>
    <row r="180" spans="1:4" x14ac:dyDescent="0.25">
      <c r="A180" s="2" t="str">
        <f>"2.2.4.04.02- Acoes trabalhistas"</f>
        <v>2.2.4.04.02- Acoes trabalhistas</v>
      </c>
      <c r="B180" s="10">
        <v>4376862.34</v>
      </c>
      <c r="C180" s="10">
        <v>0</v>
      </c>
      <c r="D180" s="10">
        <v>4376862.34</v>
      </c>
    </row>
    <row r="181" spans="1:4" x14ac:dyDescent="0.25">
      <c r="A181" s="2" t="str">
        <f>"2.2.5.00.00- OBRIGACOES VINC.  AO PAMEH"</f>
        <v>2.2.5.00.00- OBRIGACOES VINC.  AO PAMEH</v>
      </c>
      <c r="B181" s="10">
        <v>4768822.33</v>
      </c>
      <c r="C181" s="10">
        <v>-80936.11</v>
      </c>
      <c r="D181" s="10">
        <v>4687886.22</v>
      </c>
    </row>
    <row r="182" spans="1:4" x14ac:dyDescent="0.25">
      <c r="A182" s="2" t="str">
        <f>"2.2.5.01.00- OBRIGACOES VINC.  AO PAMEH"</f>
        <v>2.2.5.01.00- OBRIGACOES VINC.  AO PAMEH</v>
      </c>
      <c r="B182" s="10">
        <v>4768822.33</v>
      </c>
      <c r="C182" s="10">
        <v>-80936.11</v>
      </c>
      <c r="D182" s="10">
        <v>4687886.22</v>
      </c>
    </row>
    <row r="183" spans="1:4" x14ac:dyDescent="0.25">
      <c r="A183" s="2" t="str">
        <f>"2.2.5.01.01- Resultado Exerc.Anteriores-PAMEH"</f>
        <v>2.2.5.01.01- Resultado Exerc.Anteriores-PAMEH</v>
      </c>
      <c r="B183" s="10">
        <v>3457128.18</v>
      </c>
      <c r="C183" s="10">
        <v>0</v>
      </c>
      <c r="D183" s="10">
        <v>3457128.18</v>
      </c>
    </row>
    <row r="184" spans="1:4" x14ac:dyDescent="0.25">
      <c r="A184" s="2" t="str">
        <f>"2.2.5.01.02- Resultado deste Exercicio-PAMEH"</f>
        <v>2.2.5.01.02- Resultado deste Exercicio-PAMEH</v>
      </c>
      <c r="B184" s="10">
        <v>-278247.62</v>
      </c>
      <c r="C184" s="10">
        <v>-80936.11</v>
      </c>
      <c r="D184" s="10">
        <v>-359183.73</v>
      </c>
    </row>
    <row r="185" spans="1:4" x14ac:dyDescent="0.25">
      <c r="A185" s="2" t="str">
        <f>"2.2.5.01.03- Ajuste Exercício Anterior - PAMEH"</f>
        <v>2.2.5.01.03- Ajuste Exercício Anterior - PAMEH</v>
      </c>
      <c r="B185" s="10">
        <v>1589941.77</v>
      </c>
      <c r="C185" s="10">
        <v>0</v>
      </c>
      <c r="D185" s="10">
        <v>1589941.77</v>
      </c>
    </row>
    <row r="186" spans="1:4" x14ac:dyDescent="0.25">
      <c r="A186" s="2" t="str">
        <f>"2.4.0.00.00- PATRIMONIO LIQUIDO"</f>
        <v>2.4.0.00.00- PATRIMONIO LIQUIDO</v>
      </c>
      <c r="B186" s="10">
        <v>-63912004.560000002</v>
      </c>
      <c r="C186" s="10">
        <v>0</v>
      </c>
      <c r="D186" s="10">
        <v>-63912004.560000002</v>
      </c>
    </row>
    <row r="187" spans="1:4" x14ac:dyDescent="0.25">
      <c r="A187" s="2" t="str">
        <f>"2.4.1.00.00- CAPITAL SOCIAL"</f>
        <v>2.4.1.00.00- CAPITAL SOCIAL</v>
      </c>
      <c r="B187" s="10">
        <v>67418193.159999996</v>
      </c>
      <c r="C187" s="10">
        <v>0</v>
      </c>
      <c r="D187" s="10">
        <v>67418193.159999996</v>
      </c>
    </row>
    <row r="188" spans="1:4" x14ac:dyDescent="0.25">
      <c r="A188" s="2" t="str">
        <f>"2.4.1.02.00- CAPITAL REALIZADO"</f>
        <v>2.4.1.02.00- CAPITAL REALIZADO</v>
      </c>
      <c r="B188" s="10">
        <v>67418193.159999996</v>
      </c>
      <c r="C188" s="10">
        <v>0</v>
      </c>
      <c r="D188" s="10">
        <v>67418193.159999996</v>
      </c>
    </row>
    <row r="189" spans="1:4" x14ac:dyDescent="0.25">
      <c r="A189" s="2" t="str">
        <f>"2.4.1.02.01- Capital Subscrito"</f>
        <v>2.4.1.02.01- Capital Subscrito</v>
      </c>
      <c r="B189" s="10">
        <v>75000000</v>
      </c>
      <c r="C189" s="10">
        <v>0</v>
      </c>
      <c r="D189" s="10">
        <v>75000000</v>
      </c>
    </row>
    <row r="190" spans="1:4" x14ac:dyDescent="0.25">
      <c r="A190" s="2" t="str">
        <f>"2.4.1.02.04- Capital a Realizar"</f>
        <v>2.4.1.02.04- Capital a Realizar</v>
      </c>
      <c r="B190" s="10">
        <v>-7581806.8399999999</v>
      </c>
      <c r="C190" s="10">
        <v>0</v>
      </c>
      <c r="D190" s="10">
        <v>-7581806.8399999999</v>
      </c>
    </row>
    <row r="191" spans="1:4" x14ac:dyDescent="0.25">
      <c r="A191" s="2" t="str">
        <f>"2.4.3.00.00- RESULTADOS ACUMULADOS"</f>
        <v>2.4.3.00.00- RESULTADOS ACUMULADOS</v>
      </c>
      <c r="B191" s="10">
        <v>-131330197.72</v>
      </c>
      <c r="C191" s="10">
        <v>0</v>
      </c>
      <c r="D191" s="10">
        <v>-131330197.72</v>
      </c>
    </row>
    <row r="192" spans="1:4" x14ac:dyDescent="0.25">
      <c r="A192" s="2" t="str">
        <f>"2.4.3.01.00- LUCROS/PREJUIZOS ACUMULADOS"</f>
        <v>2.4.3.01.00- LUCROS/PREJUIZOS ACUMULADOS</v>
      </c>
      <c r="B192" s="10">
        <v>-131330197.72</v>
      </c>
      <c r="C192" s="10">
        <v>0</v>
      </c>
      <c r="D192" s="10">
        <v>-131330197.72</v>
      </c>
    </row>
    <row r="193" spans="1:4" x14ac:dyDescent="0.25">
      <c r="A193" s="2" t="str">
        <f>"2.4.3.01.01- Resultados de Exerc. Anteriores"</f>
        <v>2.4.3.01.01- Resultados de Exerc. Anteriores</v>
      </c>
      <c r="B193" s="10">
        <v>-131329846.40000001</v>
      </c>
      <c r="C193" s="10">
        <v>0</v>
      </c>
      <c r="D193" s="10">
        <v>-131329846.40000001</v>
      </c>
    </row>
    <row r="194" spans="1:4" x14ac:dyDescent="0.25">
      <c r="A194" s="2" t="str">
        <f>"2.4.3.01.03- Ajuste do Exercicio Anterior"</f>
        <v>2.4.3.01.03- Ajuste do Exercicio Anterior</v>
      </c>
      <c r="B194" s="10">
        <v>-351.32</v>
      </c>
      <c r="C194" s="10">
        <v>0</v>
      </c>
      <c r="D194" s="10">
        <v>-351.32</v>
      </c>
    </row>
    <row r="195" spans="1:4" x14ac:dyDescent="0.25">
      <c r="A195" s="2" t="str">
        <f>""</f>
        <v/>
      </c>
      <c r="B195" s="3" t="str">
        <f>""</f>
        <v/>
      </c>
      <c r="C195" s="3" t="str">
        <f>""</f>
        <v/>
      </c>
      <c r="D195" s="3" t="str">
        <f>""</f>
        <v/>
      </c>
    </row>
    <row r="196" spans="1:4" x14ac:dyDescent="0.25">
      <c r="A196" s="2" t="str">
        <f>""</f>
        <v/>
      </c>
      <c r="B196" s="3" t="str">
        <f>""</f>
        <v/>
      </c>
      <c r="C196" s="3" t="str">
        <f>""</f>
        <v/>
      </c>
      <c r="D196" s="3" t="str">
        <f>""</f>
        <v/>
      </c>
    </row>
    <row r="197" spans="1:4" x14ac:dyDescent="0.25">
      <c r="A197" s="2" t="str">
        <f>""</f>
        <v/>
      </c>
      <c r="B197" s="3" t="str">
        <f>""</f>
        <v/>
      </c>
      <c r="C197" s="3" t="str">
        <f>""</f>
        <v/>
      </c>
      <c r="D197" s="3" t="str">
        <f>""</f>
        <v/>
      </c>
    </row>
    <row r="198" spans="1:4" x14ac:dyDescent="0.25">
      <c r="A198" s="2" t="str">
        <f>""</f>
        <v/>
      </c>
      <c r="B198" s="3" t="str">
        <f>""</f>
        <v/>
      </c>
      <c r="C198" s="3" t="str">
        <f>""</f>
        <v/>
      </c>
      <c r="D198" s="3" t="str">
        <f>""</f>
        <v/>
      </c>
    </row>
    <row r="199" spans="1:4" x14ac:dyDescent="0.25">
      <c r="A199" s="2" t="str">
        <f>""</f>
        <v/>
      </c>
      <c r="B199" s="3" t="str">
        <f>""</f>
        <v/>
      </c>
      <c r="C199" s="3" t="str">
        <f>""</f>
        <v/>
      </c>
      <c r="D199" s="3" t="str">
        <f>""</f>
        <v/>
      </c>
    </row>
    <row r="200" spans="1:4" x14ac:dyDescent="0.25">
      <c r="A200" s="2" t="str">
        <f>""</f>
        <v/>
      </c>
      <c r="B200" s="3" t="str">
        <f>""</f>
        <v/>
      </c>
      <c r="C200" s="3" t="str">
        <f>""</f>
        <v/>
      </c>
      <c r="D200" s="3" t="str">
        <f>""</f>
        <v/>
      </c>
    </row>
    <row r="201" spans="1:4" x14ac:dyDescent="0.25">
      <c r="A201" s="2" t="str">
        <f>""</f>
        <v/>
      </c>
      <c r="B201" s="3" t="str">
        <f>""</f>
        <v/>
      </c>
      <c r="C201" s="3" t="str">
        <f>""</f>
        <v/>
      </c>
      <c r="D201" s="3" t="str">
        <f>""</f>
        <v/>
      </c>
    </row>
    <row r="202" spans="1:4" x14ac:dyDescent="0.25">
      <c r="A202" s="2" t="str">
        <f>"DESPESAS"</f>
        <v>DESPESAS</v>
      </c>
      <c r="B202" s="3" t="str">
        <f>""</f>
        <v/>
      </c>
      <c r="C202" s="3" t="str">
        <f>""</f>
        <v/>
      </c>
      <c r="D202" s="3" t="str">
        <f>""</f>
        <v/>
      </c>
    </row>
    <row r="203" spans="1:4" x14ac:dyDescent="0.25">
      <c r="A203" s="2" t="str">
        <f>"3.0.0.00.00- DESPESAS"</f>
        <v>3.0.0.00.00- DESPESAS</v>
      </c>
      <c r="B203" s="10">
        <v>32060348.73</v>
      </c>
      <c r="C203" s="10">
        <v>11034071.09</v>
      </c>
      <c r="D203" s="10">
        <v>43094419.82</v>
      </c>
    </row>
    <row r="204" spans="1:4" x14ac:dyDescent="0.25">
      <c r="A204" s="2" t="str">
        <f>"3.1.0.00.00- DESPESAS OPERACIONAIS"</f>
        <v>3.1.0.00.00- DESPESAS OPERACIONAIS</v>
      </c>
      <c r="B204" s="10">
        <v>32060348.73</v>
      </c>
      <c r="C204" s="10">
        <v>11034071.09</v>
      </c>
      <c r="D204" s="10">
        <v>43094419.82</v>
      </c>
    </row>
    <row r="205" spans="1:4" x14ac:dyDescent="0.25">
      <c r="A205" s="2" t="str">
        <f>"3.1.1.00.00- SALARIOS ADICIONAIS E HONORARIOS"</f>
        <v>3.1.1.00.00- SALARIOS ADICIONAIS E HONORARIOS</v>
      </c>
      <c r="B205" s="10">
        <v>16725823.33</v>
      </c>
      <c r="C205" s="10">
        <v>5685909.7199999997</v>
      </c>
      <c r="D205" s="10">
        <v>22411733.050000001</v>
      </c>
    </row>
    <row r="206" spans="1:4" x14ac:dyDescent="0.25">
      <c r="A206" s="2" t="str">
        <f>"3.1.1.00.01- Honorarios diretoria"</f>
        <v>3.1.1.00.01- Honorarios diretoria</v>
      </c>
      <c r="B206" s="10">
        <v>213898.76</v>
      </c>
      <c r="C206" s="10">
        <v>86299.15</v>
      </c>
      <c r="D206" s="10">
        <v>300197.90999999997</v>
      </c>
    </row>
    <row r="207" spans="1:4" x14ac:dyDescent="0.25">
      <c r="A207" s="2" t="str">
        <f>"3.1.1.00.02- Honorarios conselho fiscal"</f>
        <v>3.1.1.00.02- Honorarios conselho fiscal</v>
      </c>
      <c r="B207" s="10">
        <v>15943.32</v>
      </c>
      <c r="C207" s="10">
        <v>5311.5</v>
      </c>
      <c r="D207" s="10">
        <v>21254.82</v>
      </c>
    </row>
    <row r="208" spans="1:4" x14ac:dyDescent="0.25">
      <c r="A208" s="2" t="str">
        <f>"3.1.1.00.03- Honorarios cons. administracao"</f>
        <v>3.1.1.00.03- Honorarios cons. administracao</v>
      </c>
      <c r="B208" s="10">
        <v>31858.73</v>
      </c>
      <c r="C208" s="10">
        <v>10613.71</v>
      </c>
      <c r="D208" s="10">
        <v>42472.44</v>
      </c>
    </row>
    <row r="209" spans="1:4" x14ac:dyDescent="0.25">
      <c r="A209" s="2" t="str">
        <f>"3.1.1.00.04- Salarios e adicionais"</f>
        <v>3.1.1.00.04- Salarios e adicionais</v>
      </c>
      <c r="B209" s="10">
        <v>13513920.35</v>
      </c>
      <c r="C209" s="10">
        <v>4635488.03</v>
      </c>
      <c r="D209" s="10">
        <v>18149408.379999999</v>
      </c>
    </row>
    <row r="210" spans="1:4" x14ac:dyDescent="0.25">
      <c r="A210" s="2" t="str">
        <f>"3.1.1.00.05- Ferias e abono pecuniario"</f>
        <v>3.1.1.00.05- Ferias e abono pecuniario</v>
      </c>
      <c r="B210" s="10">
        <v>1736831.65</v>
      </c>
      <c r="C210" s="10">
        <v>542216.59</v>
      </c>
      <c r="D210" s="10">
        <v>2279048.2400000002</v>
      </c>
    </row>
    <row r="211" spans="1:4" x14ac:dyDescent="0.25">
      <c r="A211" s="2" t="str">
        <f>"3.1.1.00.06- Decimo terceiro salario"</f>
        <v>3.1.1.00.06- Decimo terceiro salario</v>
      </c>
      <c r="B211" s="10">
        <v>1156948.3500000001</v>
      </c>
      <c r="C211" s="10">
        <v>378007.05</v>
      </c>
      <c r="D211" s="10">
        <v>1534955.4</v>
      </c>
    </row>
    <row r="212" spans="1:4" x14ac:dyDescent="0.25">
      <c r="A212" s="2" t="str">
        <f>"3.1.1.00.07- Indenizacoes trabalhistas"</f>
        <v>3.1.1.00.07- Indenizacoes trabalhistas</v>
      </c>
      <c r="B212" s="10">
        <v>16023.64</v>
      </c>
      <c r="C212" s="10">
        <v>3145.35</v>
      </c>
      <c r="D212" s="10">
        <v>19168.990000000002</v>
      </c>
    </row>
    <row r="213" spans="1:4" x14ac:dyDescent="0.25">
      <c r="A213" s="2" t="str">
        <f>"3.1.1.00.08- Bolsas de estagiario"</f>
        <v>3.1.1.00.08- Bolsas de estagiario</v>
      </c>
      <c r="B213" s="10">
        <v>40398.53</v>
      </c>
      <c r="C213" s="10">
        <v>24828.34</v>
      </c>
      <c r="D213" s="10">
        <v>65226.87</v>
      </c>
    </row>
    <row r="214" spans="1:4" x14ac:dyDescent="0.25">
      <c r="A214" s="2" t="str">
        <f>"3.1.2.01.00- ENCARGOS SOCIAIS"</f>
        <v>3.1.2.01.00- ENCARGOS SOCIAIS</v>
      </c>
      <c r="B214" s="10">
        <v>5875471.7199999997</v>
      </c>
      <c r="C214" s="10">
        <v>2029651.94</v>
      </c>
      <c r="D214" s="10">
        <v>7905123.6600000001</v>
      </c>
    </row>
    <row r="215" spans="1:4" x14ac:dyDescent="0.25">
      <c r="A215" s="2" t="str">
        <f>"3.1.2.01.01- INSS"</f>
        <v>3.1.2.01.01- INSS</v>
      </c>
      <c r="B215" s="10">
        <v>4547936.7</v>
      </c>
      <c r="C215" s="10">
        <v>1587708.79</v>
      </c>
      <c r="D215" s="10">
        <v>6135645.4900000002</v>
      </c>
    </row>
    <row r="216" spans="1:4" x14ac:dyDescent="0.25">
      <c r="A216" s="2" t="str">
        <f>"3.1.2.01.02- FGTS"</f>
        <v>3.1.2.01.02- FGTS</v>
      </c>
      <c r="B216" s="10">
        <v>1327535.02</v>
      </c>
      <c r="C216" s="10">
        <v>441943.15</v>
      </c>
      <c r="D216" s="10">
        <v>1769478.17</v>
      </c>
    </row>
    <row r="217" spans="1:4" x14ac:dyDescent="0.25">
      <c r="A217" s="2" t="str">
        <f>"3.1.2.02.00- OUTRAS DESPESAS COM PESSOAL"</f>
        <v>3.1.2.02.00- OUTRAS DESPESAS COM PESSOAL</v>
      </c>
      <c r="B217" s="10">
        <v>2903939.92</v>
      </c>
      <c r="C217" s="10">
        <v>979023.05</v>
      </c>
      <c r="D217" s="10">
        <v>3882962.97</v>
      </c>
    </row>
    <row r="218" spans="1:4" x14ac:dyDescent="0.25">
      <c r="A218" s="2" t="str">
        <f>"3.1.2.02.01- Seguros de Vida"</f>
        <v>3.1.2.02.01- Seguros de Vida</v>
      </c>
      <c r="B218" s="10">
        <v>61437.56</v>
      </c>
      <c r="C218" s="10">
        <v>12447.04</v>
      </c>
      <c r="D218" s="10">
        <v>73884.600000000006</v>
      </c>
    </row>
    <row r="219" spans="1:4" x14ac:dyDescent="0.25">
      <c r="A219" s="2" t="str">
        <f>"3.1.2.02.02- Ass. Medica Odontologica"</f>
        <v>3.1.2.02.02- Ass. Medica Odontologica</v>
      </c>
      <c r="B219" s="10">
        <v>713983.22</v>
      </c>
      <c r="C219" s="10">
        <v>263962.59000000003</v>
      </c>
      <c r="D219" s="10">
        <v>977945.81</v>
      </c>
    </row>
    <row r="220" spans="1:4" x14ac:dyDescent="0.25">
      <c r="A220" s="2" t="str">
        <f>"3.1.2.02.03- Vale Transporte"</f>
        <v>3.1.2.02.03- Vale Transporte</v>
      </c>
      <c r="B220" s="10">
        <v>303275.78999999998</v>
      </c>
      <c r="C220" s="10">
        <v>89307.57</v>
      </c>
      <c r="D220" s="10">
        <v>392583.36</v>
      </c>
    </row>
    <row r="221" spans="1:4" x14ac:dyDescent="0.25">
      <c r="A221" s="2" t="str">
        <f>"3.1.2.02.04- Vale Refeicao/Alimentacao"</f>
        <v>3.1.2.02.04- Vale Refeicao/Alimentacao</v>
      </c>
      <c r="B221" s="10">
        <v>1753289.13</v>
      </c>
      <c r="C221" s="10">
        <v>587418.11</v>
      </c>
      <c r="D221" s="10">
        <v>2340707.2400000002</v>
      </c>
    </row>
    <row r="222" spans="1:4" x14ac:dyDescent="0.25">
      <c r="A222" s="2" t="str">
        <f>"3.1.2.02.05- Compl. Auxilio Doenca"</f>
        <v>3.1.2.02.05- Compl. Auxilio Doenca</v>
      </c>
      <c r="B222" s="10">
        <v>12558.98</v>
      </c>
      <c r="C222" s="10">
        <v>2910.21</v>
      </c>
      <c r="D222" s="10">
        <v>15469.19</v>
      </c>
    </row>
    <row r="223" spans="1:4" x14ac:dyDescent="0.25">
      <c r="A223" s="2" t="str">
        <f>"3.1.2.02.06- Cursos e Treinamentos"</f>
        <v>3.1.2.02.06- Cursos e Treinamentos</v>
      </c>
      <c r="B223" s="10">
        <v>590</v>
      </c>
      <c r="C223" s="10">
        <v>2322</v>
      </c>
      <c r="D223" s="10">
        <v>2912</v>
      </c>
    </row>
    <row r="224" spans="1:4" x14ac:dyDescent="0.25">
      <c r="A224" s="2" t="str">
        <f>"3.1.2.02.07- Auxilio Creche"</f>
        <v>3.1.2.02.07- Auxilio Creche</v>
      </c>
      <c r="B224" s="10">
        <v>58805.24</v>
      </c>
      <c r="C224" s="10">
        <v>20655.53</v>
      </c>
      <c r="D224" s="10">
        <v>79460.77</v>
      </c>
    </row>
    <row r="225" spans="1:4" x14ac:dyDescent="0.25">
      <c r="A225" s="2" t="str">
        <f>"3.1.3.00.00- MATERIAIS"</f>
        <v>3.1.3.00.00- MATERIAIS</v>
      </c>
      <c r="B225" s="10">
        <v>208855.46</v>
      </c>
      <c r="C225" s="10">
        <v>46234.46</v>
      </c>
      <c r="D225" s="10">
        <v>255089.92000000001</v>
      </c>
    </row>
    <row r="226" spans="1:4" x14ac:dyDescent="0.25">
      <c r="A226" s="2" t="str">
        <f>"3.1.3.00.05- Placas/acessorios/mat.fixacao"</f>
        <v>3.1.3.00.05- Placas/acessorios/mat.fixacao</v>
      </c>
      <c r="B226" s="10">
        <v>12705</v>
      </c>
      <c r="C226" s="10">
        <v>0</v>
      </c>
      <c r="D226" s="10">
        <v>12705</v>
      </c>
    </row>
    <row r="227" spans="1:4" x14ac:dyDescent="0.25">
      <c r="A227" s="2" t="str">
        <f>"3.1.3.00.08- Material seguranca e uniformes"</f>
        <v>3.1.3.00.08- Material seguranca e uniformes</v>
      </c>
      <c r="B227" s="10">
        <v>713.79</v>
      </c>
      <c r="C227" s="10">
        <v>547.79999999999995</v>
      </c>
      <c r="D227" s="10">
        <v>1261.5899999999999</v>
      </c>
    </row>
    <row r="228" spans="1:4" x14ac:dyDescent="0.25">
      <c r="A228" s="2" t="str">
        <f>"3.1.3.00.09- Material limp/conserv/copa/cozin"</f>
        <v>3.1.3.00.09- Material limp/conserv/copa/cozin</v>
      </c>
      <c r="B228" s="10">
        <v>34866.39</v>
      </c>
      <c r="C228" s="10">
        <v>5166.96</v>
      </c>
      <c r="D228" s="10">
        <v>40033.35</v>
      </c>
    </row>
    <row r="229" spans="1:4" x14ac:dyDescent="0.25">
      <c r="A229" s="2" t="str">
        <f>"3.1.3.00.10- Impressos e material de escritorio"</f>
        <v>3.1.3.00.10- Impressos e material de escritorio</v>
      </c>
      <c r="B229" s="10">
        <v>45860.57</v>
      </c>
      <c r="C229" s="10">
        <v>10214.44</v>
      </c>
      <c r="D229" s="10">
        <v>56075.01</v>
      </c>
    </row>
    <row r="230" spans="1:4" x14ac:dyDescent="0.25">
      <c r="A230" s="2" t="str">
        <f>"3.1.3.00.11- Materiais manut. inst. prediais"</f>
        <v>3.1.3.00.11- Materiais manut. inst. prediais</v>
      </c>
      <c r="B230" s="10">
        <v>19283.23</v>
      </c>
      <c r="C230" s="10">
        <v>6976.34</v>
      </c>
      <c r="D230" s="10">
        <v>26259.57</v>
      </c>
    </row>
    <row r="231" spans="1:4" x14ac:dyDescent="0.25">
      <c r="A231" s="2" t="str">
        <f>"3.1.3.00.12- Carnes estacionamento rotativo"</f>
        <v>3.1.3.00.12- Carnes estacionamento rotativo</v>
      </c>
      <c r="B231" s="10">
        <v>79279.199999999997</v>
      </c>
      <c r="C231" s="10">
        <v>21236.21</v>
      </c>
      <c r="D231" s="10">
        <v>100515.41</v>
      </c>
    </row>
    <row r="232" spans="1:4" x14ac:dyDescent="0.25">
      <c r="A232" s="2" t="str">
        <f>"3.1.3.00.15- Materiais e supriment informatic"</f>
        <v>3.1.3.00.15- Materiais e supriment informatic</v>
      </c>
      <c r="B232" s="10">
        <v>12545.67</v>
      </c>
      <c r="C232" s="10">
        <v>2092.71</v>
      </c>
      <c r="D232" s="10">
        <v>14638.38</v>
      </c>
    </row>
    <row r="233" spans="1:4" x14ac:dyDescent="0.25">
      <c r="A233" s="2" t="str">
        <f>"3.1.3.00.17- Comb./lubrificantes"</f>
        <v>3.1.3.00.17- Comb./lubrificantes</v>
      </c>
      <c r="B233" s="10">
        <v>191.11</v>
      </c>
      <c r="C233" s="10">
        <v>0</v>
      </c>
      <c r="D233" s="10">
        <v>191.11</v>
      </c>
    </row>
    <row r="234" spans="1:4" x14ac:dyDescent="0.25">
      <c r="A234" s="2" t="str">
        <f>"3.1.3.00.19- Mat.man.cons.veiculos"</f>
        <v>3.1.3.00.19- Mat.man.cons.veiculos</v>
      </c>
      <c r="B234" s="10">
        <v>364</v>
      </c>
      <c r="C234" s="10">
        <v>0</v>
      </c>
      <c r="D234" s="10">
        <v>364</v>
      </c>
    </row>
    <row r="235" spans="1:4" x14ac:dyDescent="0.25">
      <c r="A235" s="2" t="str">
        <f>"3.1.3.00.99- Outros materiais"</f>
        <v>3.1.3.00.99- Outros materiais</v>
      </c>
      <c r="B235" s="10">
        <v>3046.5</v>
      </c>
      <c r="C235" s="10">
        <v>0</v>
      </c>
      <c r="D235" s="10">
        <v>3046.5</v>
      </c>
    </row>
    <row r="236" spans="1:4" x14ac:dyDescent="0.25">
      <c r="A236" s="2" t="str">
        <f>"3.1.4.00.00- SERVICOS PRESTADOS POR TERCEIROS"</f>
        <v>3.1.4.00.00- SERVICOS PRESTADOS POR TERCEIROS</v>
      </c>
      <c r="B236" s="10">
        <v>4808382.67</v>
      </c>
      <c r="C236" s="10">
        <v>1886033.98</v>
      </c>
      <c r="D236" s="10">
        <v>6694416.6500000004</v>
      </c>
    </row>
    <row r="237" spans="1:4" x14ac:dyDescent="0.25">
      <c r="A237" s="2" t="str">
        <f>"3.1.4.00.01- Consultoria"</f>
        <v>3.1.4.00.01- Consultoria</v>
      </c>
      <c r="B237" s="10">
        <v>26600</v>
      </c>
      <c r="C237" s="10">
        <v>0</v>
      </c>
      <c r="D237" s="10">
        <v>26600</v>
      </c>
    </row>
    <row r="238" spans="1:4" x14ac:dyDescent="0.25">
      <c r="A238" s="2" t="str">
        <f>"3.1.4.00.03- Locacao de equipamentos"</f>
        <v>3.1.4.00.03- Locacao de equipamentos</v>
      </c>
      <c r="B238" s="10">
        <v>6705.7</v>
      </c>
      <c r="C238" s="10">
        <v>26822.799999999999</v>
      </c>
      <c r="D238" s="10">
        <v>33528.5</v>
      </c>
    </row>
    <row r="239" spans="1:4" x14ac:dyDescent="0.25">
      <c r="A239" s="2" t="str">
        <f>"3.1.4.00.08- Servicos de auditoria"</f>
        <v>3.1.4.00.08- Servicos de auditoria</v>
      </c>
      <c r="B239" s="10">
        <v>12249.96</v>
      </c>
      <c r="C239" s="10">
        <v>4083.32</v>
      </c>
      <c r="D239" s="10">
        <v>16333.28</v>
      </c>
    </row>
    <row r="240" spans="1:4" x14ac:dyDescent="0.25">
      <c r="A240" s="2" t="str">
        <f>"3.1.4.00.10- Mao de obra contratada"</f>
        <v>3.1.4.00.10- Mao de obra contratada</v>
      </c>
      <c r="B240" s="10">
        <v>363075.12</v>
      </c>
      <c r="C240" s="10">
        <v>116534.08</v>
      </c>
      <c r="D240" s="10">
        <v>479609.2</v>
      </c>
    </row>
    <row r="241" spans="1:4" x14ac:dyDescent="0.25">
      <c r="A241" s="2" t="str">
        <f>"3.1.4.00.13- Publicidade e divulgacao"</f>
        <v>3.1.4.00.13- Publicidade e divulgacao</v>
      </c>
      <c r="B241" s="10">
        <v>63337.35</v>
      </c>
      <c r="C241" s="10">
        <v>11681.98</v>
      </c>
      <c r="D241" s="10">
        <v>75019.33</v>
      </c>
    </row>
    <row r="242" spans="1:4" x14ac:dyDescent="0.25">
      <c r="A242" s="2" t="str">
        <f>"3.1.4.00.14- Informatica-serv. e/ou locacao"</f>
        <v>3.1.4.00.14- Informatica-serv. e/ou locacao</v>
      </c>
      <c r="B242" s="10">
        <v>164736.26999999999</v>
      </c>
      <c r="C242" s="10">
        <v>186620.96</v>
      </c>
      <c r="D242" s="10">
        <v>351357.23</v>
      </c>
    </row>
    <row r="243" spans="1:4" x14ac:dyDescent="0.25">
      <c r="A243" s="2" t="str">
        <f>"3.1.4.00.15- Outros serv. prestados - PF"</f>
        <v>3.1.4.00.15- Outros serv. prestados - PF</v>
      </c>
      <c r="B243" s="10">
        <v>24115.61</v>
      </c>
      <c r="C243" s="10">
        <v>8598.7999999999993</v>
      </c>
      <c r="D243" s="10">
        <v>32714.41</v>
      </c>
    </row>
    <row r="244" spans="1:4" x14ac:dyDescent="0.25">
      <c r="A244" s="2" t="str">
        <f>"3.1.4.00.16- Outros serv. Prestados - PJ"</f>
        <v>3.1.4.00.16- Outros serv. Prestados - PJ</v>
      </c>
      <c r="B244" s="10">
        <v>100289.45</v>
      </c>
      <c r="C244" s="10">
        <v>15595.87</v>
      </c>
      <c r="D244" s="10">
        <v>115885.32</v>
      </c>
    </row>
    <row r="245" spans="1:4" x14ac:dyDescent="0.25">
      <c r="A245" s="2" t="str">
        <f>"3.1.4.00.17- Servicos postais"</f>
        <v>3.1.4.00.17- Servicos postais</v>
      </c>
      <c r="B245" s="10">
        <v>15442.99</v>
      </c>
      <c r="C245" s="10">
        <v>5665.06</v>
      </c>
      <c r="D245" s="10">
        <v>21108.05</v>
      </c>
    </row>
    <row r="246" spans="1:4" x14ac:dyDescent="0.25">
      <c r="A246" s="2" t="str">
        <f>"3.1.4.00.18- INSS s/servicos de terceiros"</f>
        <v>3.1.4.00.18- INSS s/servicos de terceiros</v>
      </c>
      <c r="B246" s="10">
        <v>6726.67</v>
      </c>
      <c r="C246" s="10">
        <v>3177.32</v>
      </c>
      <c r="D246" s="10">
        <v>9903.99</v>
      </c>
    </row>
    <row r="247" spans="1:4" x14ac:dyDescent="0.25">
      <c r="A247" s="2" t="str">
        <f>"3.1.4.00.19- Manut. imoveis/instal/equip.oper"</f>
        <v>3.1.4.00.19- Manut. imoveis/instal/equip.oper</v>
      </c>
      <c r="B247" s="10">
        <v>148931.04</v>
      </c>
      <c r="C247" s="10">
        <v>36926.639999999999</v>
      </c>
      <c r="D247" s="10">
        <v>185857.68</v>
      </c>
    </row>
    <row r="248" spans="1:4" x14ac:dyDescent="0.25">
      <c r="A248" s="2" t="str">
        <f>"3.1.4.00.21- Manut. moveis e equip. Escritorio"</f>
        <v>3.1.4.00.21- Manut. moveis e equip. Escritorio</v>
      </c>
      <c r="B248" s="10">
        <v>1650.55</v>
      </c>
      <c r="C248" s="10">
        <v>3605.55</v>
      </c>
      <c r="D248" s="10">
        <v>5256.1</v>
      </c>
    </row>
    <row r="249" spans="1:4" x14ac:dyDescent="0.25">
      <c r="A249" s="2" t="str">
        <f>"3.1.4.00.24- Loc.serv.mensageiro"</f>
        <v>3.1.4.00.24- Loc.serv.mensageiro</v>
      </c>
      <c r="B249" s="10">
        <v>18775.41</v>
      </c>
      <c r="C249" s="10">
        <v>6258.47</v>
      </c>
      <c r="D249" s="10">
        <v>25033.88</v>
      </c>
    </row>
    <row r="250" spans="1:4" x14ac:dyDescent="0.25">
      <c r="A250" s="2" t="str">
        <f>"3.1.4.00.26- Serv.limp.conserv."</f>
        <v>3.1.4.00.26- Serv.limp.conserv.</v>
      </c>
      <c r="B250" s="10">
        <v>3886135.01</v>
      </c>
      <c r="C250" s="10">
        <v>1475791.66</v>
      </c>
      <c r="D250" s="10">
        <v>5361926.67</v>
      </c>
    </row>
    <row r="251" spans="1:4" x14ac:dyDescent="0.25">
      <c r="A251" s="2" t="str">
        <f>"3.1.4.00.34- Comissao s/venda rotativo"</f>
        <v>3.1.4.00.34- Comissao s/venda rotativo</v>
      </c>
      <c r="B251" s="10">
        <v>197048.95</v>
      </c>
      <c r="C251" s="10">
        <v>50809.120000000003</v>
      </c>
      <c r="D251" s="10">
        <v>247858.07</v>
      </c>
    </row>
    <row r="252" spans="1:4" x14ac:dyDescent="0.25">
      <c r="A252" s="2" t="str">
        <f>"3.1.4.00.36- (-) Desconto ISSQN conf Lei 9145 serv. P"</f>
        <v>3.1.4.00.36- (-) Desconto ISSQN conf Lei 9145 serv. P</v>
      </c>
      <c r="B252" s="10">
        <v>-227437.41</v>
      </c>
      <c r="C252" s="10">
        <v>-66137.649999999994</v>
      </c>
      <c r="D252" s="10">
        <v>-293575.06</v>
      </c>
    </row>
    <row r="253" spans="1:4" x14ac:dyDescent="0.25">
      <c r="A253" s="2" t="str">
        <f>"3.1.5.00.00- TARIFAS PUBLICAS"</f>
        <v>3.1.5.00.00- TARIFAS PUBLICAS</v>
      </c>
      <c r="B253" s="10">
        <v>433159</v>
      </c>
      <c r="C253" s="10">
        <v>130416.08</v>
      </c>
      <c r="D253" s="10">
        <v>563575.07999999996</v>
      </c>
    </row>
    <row r="254" spans="1:4" x14ac:dyDescent="0.25">
      <c r="A254" s="2" t="str">
        <f>"3.1.5.00.02- Energia eletrica"</f>
        <v>3.1.5.00.02- Energia eletrica</v>
      </c>
      <c r="B254" s="10">
        <v>336569.09</v>
      </c>
      <c r="C254" s="10">
        <v>102850.36</v>
      </c>
      <c r="D254" s="10">
        <v>439419.45</v>
      </c>
    </row>
    <row r="255" spans="1:4" x14ac:dyDescent="0.25">
      <c r="A255" s="2" t="str">
        <f>"3.1.5.00.03- Telefone"</f>
        <v>3.1.5.00.03- Telefone</v>
      </c>
      <c r="B255" s="10">
        <v>96589.91</v>
      </c>
      <c r="C255" s="10">
        <v>27565.72</v>
      </c>
      <c r="D255" s="10">
        <v>124155.63</v>
      </c>
    </row>
    <row r="256" spans="1:4" x14ac:dyDescent="0.25">
      <c r="A256" s="2" t="str">
        <f>"3.1.6.00.00- DESPESAS TRIBUTARIAS"</f>
        <v>3.1.6.00.00- DESPESAS TRIBUTARIAS</v>
      </c>
      <c r="B256" s="10">
        <v>721080.31999999995</v>
      </c>
      <c r="C256" s="10">
        <v>173705.72</v>
      </c>
      <c r="D256" s="10">
        <v>894786.04</v>
      </c>
    </row>
    <row r="257" spans="1:4" x14ac:dyDescent="0.25">
      <c r="A257" s="2" t="str">
        <f>"3.1.6.00.01- Taxas legais"</f>
        <v>3.1.6.00.01- Taxas legais</v>
      </c>
      <c r="B257" s="10">
        <v>0</v>
      </c>
      <c r="C257" s="10">
        <v>17936.14</v>
      </c>
      <c r="D257" s="10">
        <v>17936.14</v>
      </c>
    </row>
    <row r="258" spans="1:4" x14ac:dyDescent="0.25">
      <c r="A258" s="2" t="str">
        <f>"3.1.6.00.03- IOF"</f>
        <v>3.1.6.00.03- IOF</v>
      </c>
      <c r="B258" s="10">
        <v>1100.01</v>
      </c>
      <c r="C258" s="10">
        <v>0</v>
      </c>
      <c r="D258" s="10">
        <v>1100.01</v>
      </c>
    </row>
    <row r="259" spans="1:4" x14ac:dyDescent="0.25">
      <c r="A259" s="2" t="str">
        <f>"3.1.6.00.06- PIS"</f>
        <v>3.1.6.00.06- PIS</v>
      </c>
      <c r="B259" s="10">
        <v>111859.28</v>
      </c>
      <c r="C259" s="10">
        <v>26780.85</v>
      </c>
      <c r="D259" s="10">
        <v>138640.13</v>
      </c>
    </row>
    <row r="260" spans="1:4" x14ac:dyDescent="0.25">
      <c r="A260" s="2" t="str">
        <f>"3.1.6.00.07- COFINS"</f>
        <v>3.1.6.00.07- COFINS</v>
      </c>
      <c r="B260" s="10">
        <v>515230.64</v>
      </c>
      <c r="C260" s="10">
        <v>123354.24000000001</v>
      </c>
      <c r="D260" s="10">
        <v>638584.88</v>
      </c>
    </row>
    <row r="261" spans="1:4" x14ac:dyDescent="0.25">
      <c r="A261" s="2" t="str">
        <f>"3.1.6.00.10- ISS s/faturamento"</f>
        <v>3.1.6.00.10- ISS s/faturamento</v>
      </c>
      <c r="B261" s="10">
        <v>5911.37</v>
      </c>
      <c r="C261" s="10">
        <v>1683.22</v>
      </c>
      <c r="D261" s="10">
        <v>7594.59</v>
      </c>
    </row>
    <row r="262" spans="1:4" x14ac:dyDescent="0.25">
      <c r="A262" s="2" t="str">
        <f>"3.1.6.00.11- Custas/despesas judiciais"</f>
        <v>3.1.6.00.11- Custas/despesas judiciais</v>
      </c>
      <c r="B262" s="10">
        <v>60</v>
      </c>
      <c r="C262" s="10">
        <v>0</v>
      </c>
      <c r="D262" s="10">
        <v>60</v>
      </c>
    </row>
    <row r="263" spans="1:4" x14ac:dyDescent="0.25">
      <c r="A263" s="2" t="str">
        <f>"3.1.6.00.14- Contrib.entid.classe"</f>
        <v>3.1.6.00.14- Contrib.entid.classe</v>
      </c>
      <c r="B263" s="10">
        <v>80718.09</v>
      </c>
      <c r="C263" s="10">
        <v>0</v>
      </c>
      <c r="D263" s="10">
        <v>80718.09</v>
      </c>
    </row>
    <row r="264" spans="1:4" x14ac:dyDescent="0.25">
      <c r="A264" s="2" t="str">
        <f>"3.1.6.00.15- INSS Serv.terceiros"</f>
        <v>3.1.6.00.15- INSS Serv.terceiros</v>
      </c>
      <c r="B264" s="10">
        <v>2837.6</v>
      </c>
      <c r="C264" s="10">
        <v>1985.52</v>
      </c>
      <c r="D264" s="10">
        <v>4823.12</v>
      </c>
    </row>
    <row r="265" spans="1:4" x14ac:dyDescent="0.25">
      <c r="A265" s="2" t="str">
        <f>"3.1.6.00.17- PIS s/ receitas financeiras"</f>
        <v>3.1.6.00.17- PIS s/ receitas financeiras</v>
      </c>
      <c r="B265" s="10">
        <v>470.14</v>
      </c>
      <c r="C265" s="10">
        <v>274.77999999999997</v>
      </c>
      <c r="D265" s="10">
        <v>744.92</v>
      </c>
    </row>
    <row r="266" spans="1:4" x14ac:dyDescent="0.25">
      <c r="A266" s="2" t="str">
        <f>"3.1.6.00.18- Cofins s/ receitas financeiras"</f>
        <v>3.1.6.00.18- Cofins s/ receitas financeiras</v>
      </c>
      <c r="B266" s="10">
        <v>2893.19</v>
      </c>
      <c r="C266" s="10">
        <v>1690.97</v>
      </c>
      <c r="D266" s="10">
        <v>4584.16</v>
      </c>
    </row>
    <row r="267" spans="1:4" x14ac:dyDescent="0.25">
      <c r="A267" s="2" t="str">
        <f>"3.1.7.00.00- DESPESAS FINANCEIRAS"</f>
        <v>3.1.7.00.00- DESPESAS FINANCEIRAS</v>
      </c>
      <c r="B267" s="10">
        <v>8249.2999999999993</v>
      </c>
      <c r="C267" s="10">
        <v>1702.88</v>
      </c>
      <c r="D267" s="10">
        <v>9952.18</v>
      </c>
    </row>
    <row r="268" spans="1:4" x14ac:dyDescent="0.25">
      <c r="A268" s="2" t="str">
        <f>"3.1.7.01.02- Despesas bancarias"</f>
        <v>3.1.7.01.02- Despesas bancarias</v>
      </c>
      <c r="B268" s="10">
        <v>8249.2999999999993</v>
      </c>
      <c r="C268" s="10">
        <v>1702.88</v>
      </c>
      <c r="D268" s="10">
        <v>9952.18</v>
      </c>
    </row>
    <row r="269" spans="1:4" x14ac:dyDescent="0.25">
      <c r="A269" s="2" t="str">
        <f>"3.1.8.00.00- OUTRAS DESPESAS"</f>
        <v>3.1.8.00.00- OUTRAS DESPESAS</v>
      </c>
      <c r="B269" s="10">
        <v>375387.01</v>
      </c>
      <c r="C269" s="10">
        <v>101393.26</v>
      </c>
      <c r="D269" s="10">
        <v>476780.27</v>
      </c>
    </row>
    <row r="270" spans="1:4" x14ac:dyDescent="0.25">
      <c r="A270" s="2" t="str">
        <f>"3.1.8.00.01- Despesas de viagem"</f>
        <v>3.1.8.00.01- Despesas de viagem</v>
      </c>
      <c r="B270" s="10">
        <v>5785.96</v>
      </c>
      <c r="C270" s="10">
        <v>1775.95</v>
      </c>
      <c r="D270" s="10">
        <v>7561.91</v>
      </c>
    </row>
    <row r="271" spans="1:4" x14ac:dyDescent="0.25">
      <c r="A271" s="2" t="str">
        <f>"3.1.8.00.05- Depreciacao/amort"</f>
        <v>3.1.8.00.05- Depreciacao/amort</v>
      </c>
      <c r="B271" s="10">
        <v>71306.490000000005</v>
      </c>
      <c r="C271" s="10">
        <v>22353.99</v>
      </c>
      <c r="D271" s="10">
        <v>93660.479999999996</v>
      </c>
    </row>
    <row r="272" spans="1:4" x14ac:dyDescent="0.25">
      <c r="A272" s="2" t="str">
        <f>"3.1.8.00.06- Seguros bens moveis e imoveis"</f>
        <v>3.1.8.00.06- Seguros bens moveis e imoveis</v>
      </c>
      <c r="B272" s="10">
        <v>2321.17</v>
      </c>
      <c r="C272" s="10">
        <v>709.62</v>
      </c>
      <c r="D272" s="10">
        <v>3030.79</v>
      </c>
    </row>
    <row r="273" spans="1:4" x14ac:dyDescent="0.25">
      <c r="A273" s="2" t="str">
        <f>"3.1.8.00.08- Alugueis e condominio"</f>
        <v>3.1.8.00.08- Alugueis e condominio</v>
      </c>
      <c r="B273" s="10">
        <v>15215.43</v>
      </c>
      <c r="C273" s="10">
        <v>5071.8100000000004</v>
      </c>
      <c r="D273" s="10">
        <v>20287.240000000002</v>
      </c>
    </row>
    <row r="274" spans="1:4" x14ac:dyDescent="0.25">
      <c r="A274" s="2" t="str">
        <f>"3.1.8.00.16- Baixa de imobilizado"</f>
        <v>3.1.8.00.16- Baixa de imobilizado</v>
      </c>
      <c r="B274" s="10">
        <v>0</v>
      </c>
      <c r="C274" s="10">
        <v>4022.49</v>
      </c>
      <c r="D274" s="10">
        <v>4022.49</v>
      </c>
    </row>
    <row r="275" spans="1:4" x14ac:dyDescent="0.25">
      <c r="A275" s="2" t="str">
        <f>"3.1.8.00.17- Gastos com eventos e promocoes"</f>
        <v>3.1.8.00.17- Gastos com eventos e promocoes</v>
      </c>
      <c r="B275" s="10">
        <v>124045.1</v>
      </c>
      <c r="C275" s="10">
        <v>65272.55</v>
      </c>
      <c r="D275" s="10">
        <v>189317.65</v>
      </c>
    </row>
    <row r="276" spans="1:4" x14ac:dyDescent="0.25">
      <c r="A276" s="2" t="str">
        <f>"3.1.8.00.18- Provisao para perdas"</f>
        <v>3.1.8.00.18- Provisao para perdas</v>
      </c>
      <c r="B276" s="10">
        <v>137827.88</v>
      </c>
      <c r="C276" s="10">
        <v>0</v>
      </c>
      <c r="D276" s="10">
        <v>137827.88</v>
      </c>
    </row>
    <row r="277" spans="1:4" x14ac:dyDescent="0.25">
      <c r="A277" s="2" t="str">
        <f>"3.1.8.00.23- Custas/Despesas Judiciais"</f>
        <v>3.1.8.00.23- Custas/Despesas Judiciais</v>
      </c>
      <c r="B277" s="10">
        <v>18537.47</v>
      </c>
      <c r="C277" s="10">
        <v>2216.85</v>
      </c>
      <c r="D277" s="10">
        <v>20754.32</v>
      </c>
    </row>
    <row r="278" spans="1:4" x14ac:dyDescent="0.25">
      <c r="A278" s="2" t="str">
        <f>"3.1.8.00.99- Despesas diversas"</f>
        <v>3.1.8.00.99- Despesas diversas</v>
      </c>
      <c r="B278" s="10">
        <v>347.51</v>
      </c>
      <c r="C278" s="10">
        <v>-30</v>
      </c>
      <c r="D278" s="10">
        <v>317.51</v>
      </c>
    </row>
    <row r="279" spans="1:4" x14ac:dyDescent="0.25">
      <c r="A279" s="2" t="str">
        <f>""</f>
        <v/>
      </c>
      <c r="B279" s="3" t="str">
        <f>""</f>
        <v/>
      </c>
      <c r="C279" s="3" t="str">
        <f>""</f>
        <v/>
      </c>
      <c r="D279" s="3" t="str">
        <f>""</f>
        <v/>
      </c>
    </row>
    <row r="280" spans="1:4" x14ac:dyDescent="0.25">
      <c r="A280" s="2" t="str">
        <f>""</f>
        <v/>
      </c>
      <c r="B280" s="3" t="str">
        <f>""</f>
        <v/>
      </c>
      <c r="C280" s="3" t="str">
        <f>""</f>
        <v/>
      </c>
      <c r="D280" s="3" t="str">
        <f>""</f>
        <v/>
      </c>
    </row>
    <row r="281" spans="1:4" x14ac:dyDescent="0.25">
      <c r="A281" s="2" t="str">
        <f>""</f>
        <v/>
      </c>
      <c r="B281" s="3" t="str">
        <f>""</f>
        <v/>
      </c>
      <c r="C281" s="3" t="str">
        <f>""</f>
        <v/>
      </c>
      <c r="D281" s="3" t="str">
        <f>""</f>
        <v/>
      </c>
    </row>
    <row r="282" spans="1:4" x14ac:dyDescent="0.25">
      <c r="A282" s="2" t="str">
        <f>""</f>
        <v/>
      </c>
      <c r="B282" s="3" t="str">
        <f>""</f>
        <v/>
      </c>
      <c r="C282" s="3" t="str">
        <f>""</f>
        <v/>
      </c>
      <c r="D282" s="3" t="str">
        <f>""</f>
        <v/>
      </c>
    </row>
    <row r="283" spans="1:4" x14ac:dyDescent="0.25">
      <c r="A283" s="2" t="str">
        <f>""</f>
        <v/>
      </c>
      <c r="B283" s="3" t="str">
        <f>""</f>
        <v/>
      </c>
      <c r="C283" s="3" t="str">
        <f>""</f>
        <v/>
      </c>
      <c r="D283" s="3" t="str">
        <f>""</f>
        <v/>
      </c>
    </row>
    <row r="284" spans="1:4" x14ac:dyDescent="0.25">
      <c r="A284" s="2" t="str">
        <f>""</f>
        <v/>
      </c>
      <c r="B284" s="3" t="str">
        <f>""</f>
        <v/>
      </c>
      <c r="C284" s="3" t="str">
        <f>""</f>
        <v/>
      </c>
      <c r="D284" s="3" t="str">
        <f>""</f>
        <v/>
      </c>
    </row>
    <row r="285" spans="1:4" x14ac:dyDescent="0.25">
      <c r="A285" s="2" t="str">
        <f>""</f>
        <v/>
      </c>
      <c r="B285" s="3" t="str">
        <f>""</f>
        <v/>
      </c>
      <c r="C285" s="3" t="str">
        <f>""</f>
        <v/>
      </c>
      <c r="D285" s="3" t="str">
        <f>""</f>
        <v/>
      </c>
    </row>
    <row r="286" spans="1:4" x14ac:dyDescent="0.25">
      <c r="A286" s="2" t="str">
        <f>""</f>
        <v/>
      </c>
      <c r="B286" s="3" t="str">
        <f>""</f>
        <v/>
      </c>
      <c r="C286" s="3" t="str">
        <f>""</f>
        <v/>
      </c>
      <c r="D286" s="3" t="str">
        <f>""</f>
        <v/>
      </c>
    </row>
    <row r="287" spans="1:4" x14ac:dyDescent="0.25">
      <c r="A287" s="2" t="str">
        <f>""</f>
        <v/>
      </c>
      <c r="B287" s="3" t="str">
        <f>""</f>
        <v/>
      </c>
      <c r="C287" s="3" t="str">
        <f>""</f>
        <v/>
      </c>
      <c r="D287" s="3" t="str">
        <f>""</f>
        <v/>
      </c>
    </row>
    <row r="288" spans="1:4" x14ac:dyDescent="0.25">
      <c r="A288" s="2" t="str">
        <f>""</f>
        <v/>
      </c>
      <c r="B288" s="3" t="str">
        <f>""</f>
        <v/>
      </c>
      <c r="C288" s="3" t="str">
        <f>""</f>
        <v/>
      </c>
      <c r="D288" s="3" t="str">
        <f>""</f>
        <v/>
      </c>
    </row>
    <row r="289" spans="1:4" x14ac:dyDescent="0.25">
      <c r="A289" s="2" t="str">
        <f>"RECEITAS"</f>
        <v>RECEITAS</v>
      </c>
      <c r="B289" s="3" t="str">
        <f>""</f>
        <v/>
      </c>
      <c r="C289" s="3" t="str">
        <f>""</f>
        <v/>
      </c>
      <c r="D289" s="3" t="str">
        <f>""</f>
        <v/>
      </c>
    </row>
    <row r="290" spans="1:4" x14ac:dyDescent="0.25">
      <c r="A290" s="2" t="str">
        <f>"4.0.0.00.00- RECEITAS"</f>
        <v>4.0.0.00.00- RECEITAS</v>
      </c>
      <c r="B290" s="10">
        <v>31205554.18</v>
      </c>
      <c r="C290" s="10">
        <v>10881970.25</v>
      </c>
      <c r="D290" s="10">
        <v>42087524.43</v>
      </c>
    </row>
    <row r="291" spans="1:4" x14ac:dyDescent="0.25">
      <c r="A291" s="2" t="str">
        <f>"4.1.0.00.00- RECEITAS BHTRANS"</f>
        <v>4.1.0.00.00- RECEITAS BHTRANS</v>
      </c>
      <c r="B291" s="10">
        <v>30670188.73</v>
      </c>
      <c r="C291" s="10">
        <v>10692622.130000001</v>
      </c>
      <c r="D291" s="10">
        <v>41362810.859999999</v>
      </c>
    </row>
    <row r="292" spans="1:4" x14ac:dyDescent="0.25">
      <c r="A292" s="2" t="str">
        <f>"4.1.1.00.00- RECEITAS OPERACIONAIS"</f>
        <v>4.1.1.00.00- RECEITAS OPERACIONAIS</v>
      </c>
      <c r="B292" s="10">
        <v>30505013.140000001</v>
      </c>
      <c r="C292" s="10">
        <v>10620413.4</v>
      </c>
      <c r="D292" s="10">
        <v>41125426.539999999</v>
      </c>
    </row>
    <row r="293" spans="1:4" x14ac:dyDescent="0.25">
      <c r="A293" s="2" t="str">
        <f>"4.1.1.00.05- Midia taxi, escolar e suplementar"</f>
        <v>4.1.1.00.05- Midia taxi, escolar e suplementar</v>
      </c>
      <c r="B293" s="10">
        <v>10209.56</v>
      </c>
      <c r="C293" s="10">
        <v>4595.33</v>
      </c>
      <c r="D293" s="10">
        <v>14804.89</v>
      </c>
    </row>
    <row r="294" spans="1:4" x14ac:dyDescent="0.25">
      <c r="A294" s="2" t="str">
        <f>"4.1.1.00.06- Midia em onibus"</f>
        <v>4.1.1.00.06- Midia em onibus</v>
      </c>
      <c r="B294" s="10">
        <v>163960.04</v>
      </c>
      <c r="C294" s="10">
        <v>43852.07</v>
      </c>
      <c r="D294" s="10">
        <v>207812.11</v>
      </c>
    </row>
    <row r="295" spans="1:4" x14ac:dyDescent="0.25">
      <c r="A295" s="2" t="str">
        <f>"4.1.1.00.07- Midias diversas"</f>
        <v>4.1.1.00.07- Midias diversas</v>
      </c>
      <c r="B295" s="10">
        <v>22877.01</v>
      </c>
      <c r="C295" s="10">
        <v>7625.67</v>
      </c>
      <c r="D295" s="10">
        <v>30502.68</v>
      </c>
    </row>
    <row r="296" spans="1:4" x14ac:dyDescent="0.25">
      <c r="A296" s="2" t="str">
        <f>"4.1.1.00.08- Estacionamento Rotativo"</f>
        <v>4.1.1.00.08- Estacionamento Rotativo</v>
      </c>
      <c r="B296" s="10">
        <v>3986350.15</v>
      </c>
      <c r="C296" s="10">
        <v>1200807.8999999999</v>
      </c>
      <c r="D296" s="10">
        <v>5187158.05</v>
      </c>
    </row>
    <row r="297" spans="1:4" x14ac:dyDescent="0.25">
      <c r="A297" s="2" t="str">
        <f>"4.1.1.00.10- Transf. financeira PBH"</f>
        <v>4.1.1.00.10- Transf. financeira PBH</v>
      </c>
      <c r="B297" s="10">
        <v>24353874.050000001</v>
      </c>
      <c r="C297" s="10">
        <v>9216614.0099999998</v>
      </c>
      <c r="D297" s="10">
        <v>33570488.060000002</v>
      </c>
    </row>
    <row r="298" spans="1:4" x14ac:dyDescent="0.25">
      <c r="A298" s="2" t="str">
        <f>"4.1.1.00.16- Multas transporte coletivo"</f>
        <v>4.1.1.00.16- Multas transporte coletivo</v>
      </c>
      <c r="B298" s="10">
        <v>1378278.73</v>
      </c>
      <c r="C298" s="10">
        <v>0</v>
      </c>
      <c r="D298" s="10">
        <v>1378278.73</v>
      </c>
    </row>
    <row r="299" spans="1:4" x14ac:dyDescent="0.25">
      <c r="A299" s="2" t="str">
        <f>"4.1.1.00.17- Multas transporte publico"</f>
        <v>4.1.1.00.17- Multas transporte publico</v>
      </c>
      <c r="B299" s="10">
        <v>428369.62</v>
      </c>
      <c r="C299" s="10">
        <v>119036.75</v>
      </c>
      <c r="D299" s="10">
        <v>547406.37</v>
      </c>
    </row>
    <row r="300" spans="1:4" x14ac:dyDescent="0.25">
      <c r="A300" s="2" t="str">
        <f>"4.1.1.00.19- Subconcessao frotas de taxi"</f>
        <v>4.1.1.00.19- Subconcessao frotas de taxi</v>
      </c>
      <c r="B300" s="10">
        <v>161093.98000000001</v>
      </c>
      <c r="C300" s="10">
        <v>27881.67</v>
      </c>
      <c r="D300" s="10">
        <v>188975.65</v>
      </c>
    </row>
    <row r="301" spans="1:4" x14ac:dyDescent="0.25">
      <c r="A301" s="2" t="str">
        <f>"4.1.2.00.00- RECEITAS ESTACAO DIAMANTE"</f>
        <v>4.1.2.00.00- RECEITAS ESTACAO DIAMANTE</v>
      </c>
      <c r="B301" s="10">
        <v>102680.81</v>
      </c>
      <c r="C301" s="10">
        <v>62512.45</v>
      </c>
      <c r="D301" s="10">
        <v>165193.26</v>
      </c>
    </row>
    <row r="302" spans="1:4" x14ac:dyDescent="0.25">
      <c r="A302" s="2" t="str">
        <f>"4.1.2.00.01- Alugueis"</f>
        <v>4.1.2.00.01- Alugueis</v>
      </c>
      <c r="B302" s="10">
        <v>102680.81</v>
      </c>
      <c r="C302" s="10">
        <v>62512.45</v>
      </c>
      <c r="D302" s="10">
        <v>165193.26</v>
      </c>
    </row>
    <row r="303" spans="1:4" x14ac:dyDescent="0.25">
      <c r="A303" s="2" t="str">
        <f>"4.1.3.00.00- RECEITAS ESTACAO VENDA NOVA"</f>
        <v>4.1.3.00.00- RECEITAS ESTACAO VENDA NOVA</v>
      </c>
      <c r="B303" s="10">
        <v>59062.78</v>
      </c>
      <c r="C303" s="10">
        <v>9696.2800000000007</v>
      </c>
      <c r="D303" s="10">
        <v>68759.06</v>
      </c>
    </row>
    <row r="304" spans="1:4" x14ac:dyDescent="0.25">
      <c r="A304" s="2" t="str">
        <f>"4.1.3.00.01- Alugueis"</f>
        <v>4.1.3.00.01- Alugueis</v>
      </c>
      <c r="B304" s="10">
        <v>59062.78</v>
      </c>
      <c r="C304" s="10">
        <v>9696.2800000000007</v>
      </c>
      <c r="D304" s="10">
        <v>68759.06</v>
      </c>
    </row>
    <row r="305" spans="1:4" x14ac:dyDescent="0.25">
      <c r="A305" s="2" t="str">
        <f>"4.1.6.00.00- RECEITAS ESTACAO PAMPULHA"</f>
        <v>4.1.6.00.00- RECEITAS ESTACAO PAMPULHA</v>
      </c>
      <c r="B305" s="10">
        <v>3432</v>
      </c>
      <c r="C305" s="10">
        <v>0</v>
      </c>
      <c r="D305" s="10">
        <v>3432</v>
      </c>
    </row>
    <row r="306" spans="1:4" x14ac:dyDescent="0.25">
      <c r="A306" s="2" t="str">
        <f>"4.1.6.00.01- Alugueis"</f>
        <v>4.1.6.00.01- Alugueis</v>
      </c>
      <c r="B306" s="10">
        <v>3432</v>
      </c>
      <c r="C306" s="10">
        <v>0</v>
      </c>
      <c r="D306" s="10">
        <v>3432</v>
      </c>
    </row>
    <row r="307" spans="1:4" x14ac:dyDescent="0.25">
      <c r="A307" s="2" t="str">
        <f>"4.2.0.00.00- RECEITAS FINANCEIRAS"</f>
        <v>4.2.0.00.00- RECEITAS FINANCEIRAS</v>
      </c>
      <c r="B307" s="10">
        <v>72329.56</v>
      </c>
      <c r="C307" s="10">
        <v>42274.13</v>
      </c>
      <c r="D307" s="10">
        <v>114603.69</v>
      </c>
    </row>
    <row r="308" spans="1:4" x14ac:dyDescent="0.25">
      <c r="A308" s="2" t="str">
        <f>"4.2.1.00.00- RECEITAS FINANCEIRAS"</f>
        <v>4.2.1.00.00- RECEITAS FINANCEIRAS</v>
      </c>
      <c r="B308" s="10">
        <v>72008.649999999994</v>
      </c>
      <c r="C308" s="10">
        <v>42189.919999999998</v>
      </c>
      <c r="D308" s="10">
        <v>114198.57</v>
      </c>
    </row>
    <row r="309" spans="1:4" x14ac:dyDescent="0.25">
      <c r="A309" s="2" t="str">
        <f>"4.2.1.00.01- Rendimentos aplic. Financeira"</f>
        <v>4.2.1.00.01- Rendimentos aplic. Financeira</v>
      </c>
      <c r="B309" s="10">
        <v>71470.86</v>
      </c>
      <c r="C309" s="10">
        <v>42189.919999999998</v>
      </c>
      <c r="D309" s="10">
        <v>113660.78</v>
      </c>
    </row>
    <row r="310" spans="1:4" x14ac:dyDescent="0.25">
      <c r="A310" s="2" t="str">
        <f>"4.2.1.00.02- Juros ativos"</f>
        <v>4.2.1.00.02- Juros ativos</v>
      </c>
      <c r="B310" s="10">
        <v>537.79</v>
      </c>
      <c r="C310" s="10">
        <v>0</v>
      </c>
      <c r="D310" s="10">
        <v>537.79</v>
      </c>
    </row>
    <row r="311" spans="1:4" x14ac:dyDescent="0.25">
      <c r="A311" s="2" t="str">
        <f>"4.2.2.00.00- VARIACOES MONETARIAS ATIVAS"</f>
        <v>4.2.2.00.00- VARIACOES MONETARIAS ATIVAS</v>
      </c>
      <c r="B311" s="10">
        <v>320.91000000000003</v>
      </c>
      <c r="C311" s="10">
        <v>84.21</v>
      </c>
      <c r="D311" s="10">
        <v>405.12</v>
      </c>
    </row>
    <row r="312" spans="1:4" x14ac:dyDescent="0.25">
      <c r="A312" s="2" t="str">
        <f>"4.2.2.00.01- Variações monetárias ativas"</f>
        <v>4.2.2.00.01- Variações monetárias ativas</v>
      </c>
      <c r="B312" s="10">
        <v>320.91000000000003</v>
      </c>
      <c r="C312" s="10">
        <v>84.21</v>
      </c>
      <c r="D312" s="10">
        <v>405.12</v>
      </c>
    </row>
    <row r="313" spans="1:4" x14ac:dyDescent="0.25">
      <c r="A313" s="2" t="str">
        <f>"4.3.0.00.00- OUTRAS RECEITAS"</f>
        <v>4.3.0.00.00- OUTRAS RECEITAS</v>
      </c>
      <c r="B313" s="10">
        <v>463035.89</v>
      </c>
      <c r="C313" s="10">
        <v>147073.99</v>
      </c>
      <c r="D313" s="10">
        <v>610109.88</v>
      </c>
    </row>
    <row r="314" spans="1:4" x14ac:dyDescent="0.25">
      <c r="A314" s="2" t="str">
        <f>"4.3.1.00.00- OUTRAS RECEITAS"</f>
        <v>4.3.1.00.00- OUTRAS RECEITAS</v>
      </c>
      <c r="B314" s="10">
        <v>463035.89</v>
      </c>
      <c r="C314" s="10">
        <v>147073.99</v>
      </c>
      <c r="D314" s="10">
        <v>610109.88</v>
      </c>
    </row>
    <row r="315" spans="1:4" x14ac:dyDescent="0.25">
      <c r="A315" s="2" t="str">
        <f>"4.3.1.00.04- Receitas Diversas"</f>
        <v>4.3.1.00.04- Receitas Diversas</v>
      </c>
      <c r="B315" s="10">
        <v>275032.55</v>
      </c>
      <c r="C315" s="10">
        <v>61157.32</v>
      </c>
      <c r="D315" s="10">
        <v>336189.87</v>
      </c>
    </row>
    <row r="316" spans="1:4" x14ac:dyDescent="0.25">
      <c r="A316" s="2" t="str">
        <f>"4.3.1.00.07- Concessão de Abrigo de ônibus"</f>
        <v>4.3.1.00.07- Concessão de Abrigo de ônibus</v>
      </c>
      <c r="B316" s="10">
        <v>188003.34</v>
      </c>
      <c r="C316" s="10">
        <v>85916.67</v>
      </c>
      <c r="D316" s="10">
        <v>273920.01</v>
      </c>
    </row>
    <row r="317" spans="1:4" x14ac:dyDescent="0.25">
      <c r="A317" s="2" t="str">
        <f>""</f>
        <v/>
      </c>
      <c r="B317" s="3" t="str">
        <f>""</f>
        <v/>
      </c>
      <c r="C317" s="3" t="str">
        <f>""</f>
        <v/>
      </c>
      <c r="D317" s="3" t="str">
        <f>""</f>
        <v/>
      </c>
    </row>
    <row r="318" spans="1:4" x14ac:dyDescent="0.25">
      <c r="A318" s="2" t="str">
        <f>""</f>
        <v/>
      </c>
      <c r="B318" s="3" t="str">
        <f>""</f>
        <v/>
      </c>
      <c r="C318" s="3" t="str">
        <f>""</f>
        <v/>
      </c>
      <c r="D318" s="3" t="str">
        <f>""</f>
        <v/>
      </c>
    </row>
    <row r="319" spans="1:4" x14ac:dyDescent="0.25">
      <c r="A319" s="2" t="str">
        <f>""</f>
        <v/>
      </c>
      <c r="B319" s="3" t="str">
        <f>""</f>
        <v/>
      </c>
      <c r="C319" s="3" t="str">
        <f>""</f>
        <v/>
      </c>
      <c r="D319" s="3" t="str">
        <f>""</f>
        <v/>
      </c>
    </row>
    <row r="320" spans="1:4" x14ac:dyDescent="0.25">
      <c r="A320" s="2" t="str">
        <f>""</f>
        <v/>
      </c>
      <c r="B320" s="3" t="str">
        <f>""</f>
        <v/>
      </c>
      <c r="C320" s="3" t="str">
        <f>""</f>
        <v/>
      </c>
      <c r="D320" s="3" t="str">
        <f>""</f>
        <v/>
      </c>
    </row>
    <row r="321" spans="1:4" x14ac:dyDescent="0.25">
      <c r="A321" s="2" t="str">
        <f>""</f>
        <v/>
      </c>
      <c r="B321" s="3" t="str">
        <f>""</f>
        <v/>
      </c>
      <c r="C321" s="3" t="str">
        <f>""</f>
        <v/>
      </c>
      <c r="D321" s="3" t="str">
        <f>""</f>
        <v/>
      </c>
    </row>
    <row r="322" spans="1:4" x14ac:dyDescent="0.25">
      <c r="A322" s="2" t="str">
        <f>""</f>
        <v/>
      </c>
      <c r="B322" s="3" t="str">
        <f>""</f>
        <v/>
      </c>
      <c r="C322" s="3" t="str">
        <f>""</f>
        <v/>
      </c>
      <c r="D322" s="3" t="str">
        <f>""</f>
        <v/>
      </c>
    </row>
    <row r="323" spans="1:4" x14ac:dyDescent="0.25">
      <c r="A323" s="2" t="str">
        <f>""</f>
        <v/>
      </c>
      <c r="B323" s="3" t="str">
        <f>""</f>
        <v/>
      </c>
      <c r="C323" s="3" t="str">
        <f>""</f>
        <v/>
      </c>
      <c r="D323" s="3" t="str">
        <f>""</f>
        <v/>
      </c>
    </row>
    <row r="324" spans="1:4" x14ac:dyDescent="0.25">
      <c r="A324" s="2" t="str">
        <f>""</f>
        <v/>
      </c>
      <c r="B324" s="3" t="str">
        <f>""</f>
        <v/>
      </c>
      <c r="C324" s="3" t="str">
        <f>""</f>
        <v/>
      </c>
      <c r="D324" s="3" t="str">
        <f>""</f>
        <v/>
      </c>
    </row>
    <row r="325" spans="1:4" x14ac:dyDescent="0.25">
      <c r="A325" s="2" t="str">
        <f>""</f>
        <v/>
      </c>
      <c r="B325" s="3" t="str">
        <f>""</f>
        <v/>
      </c>
      <c r="C325" s="3" t="str">
        <f>""</f>
        <v/>
      </c>
      <c r="D325" s="3" t="str">
        <f>""</f>
        <v/>
      </c>
    </row>
    <row r="326" spans="1:4" x14ac:dyDescent="0.25">
      <c r="A326" s="2" t="str">
        <f>""</f>
        <v/>
      </c>
      <c r="B326" s="3" t="str">
        <f>""</f>
        <v/>
      </c>
      <c r="C326" s="3" t="str">
        <f>""</f>
        <v/>
      </c>
      <c r="D326" s="3" t="str">
        <f>""</f>
        <v/>
      </c>
    </row>
    <row r="327" spans="1:4" x14ac:dyDescent="0.25">
      <c r="A327" s="2" t="str">
        <f>""</f>
        <v/>
      </c>
      <c r="B327" s="3" t="str">
        <f>""</f>
        <v/>
      </c>
      <c r="C327" s="3" t="str">
        <f>""</f>
        <v/>
      </c>
      <c r="D327" s="3" t="str">
        <f>""</f>
        <v/>
      </c>
    </row>
    <row r="328" spans="1:4" x14ac:dyDescent="0.25">
      <c r="A328" s="2" t="str">
        <f>""</f>
        <v/>
      </c>
      <c r="B328" s="3" t="str">
        <f>""</f>
        <v/>
      </c>
      <c r="C328" s="3" t="str">
        <f>""</f>
        <v/>
      </c>
      <c r="D328" s="3" t="str">
        <f>""</f>
        <v/>
      </c>
    </row>
    <row r="329" spans="1:4" x14ac:dyDescent="0.25">
      <c r="A329" s="2" t="str">
        <f>""</f>
        <v/>
      </c>
      <c r="B329" s="3" t="str">
        <f>""</f>
        <v/>
      </c>
      <c r="C329" s="3" t="str">
        <f>""</f>
        <v/>
      </c>
      <c r="D329" s="3" t="str">
        <f>""</f>
        <v/>
      </c>
    </row>
    <row r="330" spans="1:4" x14ac:dyDescent="0.25">
      <c r="A330" s="2" t="str">
        <f>""</f>
        <v/>
      </c>
      <c r="B330" s="3" t="str">
        <f>""</f>
        <v/>
      </c>
      <c r="C330" s="3" t="str">
        <f>""</f>
        <v/>
      </c>
      <c r="D330" s="3" t="str">
        <f>""</f>
        <v/>
      </c>
    </row>
    <row r="331" spans="1:4" x14ac:dyDescent="0.25">
      <c r="A331" s="2" t="str">
        <f>""</f>
        <v/>
      </c>
      <c r="B331" s="3" t="str">
        <f>""</f>
        <v/>
      </c>
      <c r="C331" s="3" t="str">
        <f>""</f>
        <v/>
      </c>
      <c r="D331" s="3" t="str">
        <f>""</f>
        <v/>
      </c>
    </row>
    <row r="332" spans="1:4" x14ac:dyDescent="0.25">
      <c r="A332" s="2" t="str">
        <f>""</f>
        <v/>
      </c>
      <c r="B332" s="3" t="str">
        <f>""</f>
        <v/>
      </c>
      <c r="C332" s="3" t="str">
        <f>""</f>
        <v/>
      </c>
      <c r="D332" s="3" t="str">
        <f>""</f>
        <v/>
      </c>
    </row>
    <row r="333" spans="1:4" x14ac:dyDescent="0.25">
      <c r="A333" s="2" t="str">
        <f>""</f>
        <v/>
      </c>
      <c r="B333" s="3" t="str">
        <f>""</f>
        <v/>
      </c>
      <c r="C333" s="3" t="str">
        <f>""</f>
        <v/>
      </c>
      <c r="D333" s="3" t="str">
        <f>""</f>
        <v/>
      </c>
    </row>
    <row r="334" spans="1:4" x14ac:dyDescent="0.25">
      <c r="A334" s="2" t="str">
        <f>""</f>
        <v/>
      </c>
      <c r="B334" s="3" t="str">
        <f>""</f>
        <v/>
      </c>
      <c r="C334" s="3" t="str">
        <f>""</f>
        <v/>
      </c>
      <c r="D334" s="3" t="str">
        <f>""</f>
        <v/>
      </c>
    </row>
    <row r="335" spans="1:4" x14ac:dyDescent="0.25">
      <c r="A335" s="2" t="str">
        <f>""</f>
        <v/>
      </c>
      <c r="B335" s="3" t="str">
        <f>""</f>
        <v/>
      </c>
      <c r="C335" s="3" t="str">
        <f>""</f>
        <v/>
      </c>
      <c r="D335" s="3" t="str">
        <f>""</f>
        <v/>
      </c>
    </row>
    <row r="336" spans="1:4" x14ac:dyDescent="0.25">
      <c r="A336" s="2" t="str">
        <f>""</f>
        <v/>
      </c>
      <c r="B336" s="3" t="str">
        <f>""</f>
        <v/>
      </c>
      <c r="C336" s="3" t="str">
        <f>""</f>
        <v/>
      </c>
      <c r="D336" s="3" t="str">
        <f>""</f>
        <v/>
      </c>
    </row>
    <row r="337" spans="1:4" x14ac:dyDescent="0.25">
      <c r="A337" s="2" t="str">
        <f>""</f>
        <v/>
      </c>
      <c r="B337" s="3" t="str">
        <f>""</f>
        <v/>
      </c>
      <c r="C337" s="3" t="str">
        <f>""</f>
        <v/>
      </c>
      <c r="D337" s="3" t="str">
        <f>""</f>
        <v/>
      </c>
    </row>
    <row r="338" spans="1:4" x14ac:dyDescent="0.25">
      <c r="A338" s="2" t="str">
        <f>""</f>
        <v/>
      </c>
      <c r="B338" s="3" t="str">
        <f>""</f>
        <v/>
      </c>
      <c r="C338" s="3" t="str">
        <f>""</f>
        <v/>
      </c>
      <c r="D338" s="3" t="str">
        <f>""</f>
        <v/>
      </c>
    </row>
    <row r="339" spans="1:4" x14ac:dyDescent="0.25">
      <c r="A339" s="2" t="str">
        <f>""</f>
        <v/>
      </c>
      <c r="B339" s="3" t="str">
        <f>""</f>
        <v/>
      </c>
      <c r="C339" s="3" t="str">
        <f>""</f>
        <v/>
      </c>
      <c r="D339" s="3" t="str">
        <f>""</f>
        <v/>
      </c>
    </row>
    <row r="340" spans="1:4" x14ac:dyDescent="0.25">
      <c r="A340" s="2" t="str">
        <f>""</f>
        <v/>
      </c>
      <c r="B340" s="3" t="str">
        <f>""</f>
        <v/>
      </c>
      <c r="C340" s="3" t="str">
        <f>""</f>
        <v/>
      </c>
      <c r="D340" s="3" t="str">
        <f>""</f>
        <v/>
      </c>
    </row>
    <row r="341" spans="1:4" ht="15.75" thickBot="1" x14ac:dyDescent="0.3">
      <c r="A341" s="4" t="str">
        <f>"APURACAO DE RESULTADOS"</f>
        <v>APURACAO DE RESULTADOS</v>
      </c>
      <c r="B341" s="5" t="str">
        <f>""</f>
        <v/>
      </c>
      <c r="C341" s="5" t="str">
        <f>""</f>
        <v/>
      </c>
      <c r="D341" s="5" t="str">
        <f>""</f>
        <v/>
      </c>
    </row>
    <row r="342" spans="1:4" x14ac:dyDescent="0.25">
      <c r="A342" t="s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4"/>
  <sheetViews>
    <sheetView workbookViewId="0">
      <selection activeCell="G7" sqref="G7"/>
    </sheetView>
  </sheetViews>
  <sheetFormatPr defaultRowHeight="15" x14ac:dyDescent="0.25"/>
  <cols>
    <col min="1" max="1" width="71.5703125" bestFit="1" customWidth="1"/>
    <col min="2" max="2" width="14.5703125" bestFit="1" customWidth="1"/>
    <col min="3" max="3" width="14.28515625" bestFit="1" customWidth="1"/>
    <col min="4" max="4" width="14.5703125" bestFit="1" customWidth="1"/>
  </cols>
  <sheetData>
    <row r="1" spans="1:4" ht="19.5" thickBot="1" x14ac:dyDescent="0.35">
      <c r="A1" s="1" t="s">
        <v>5</v>
      </c>
      <c r="B1" s="1"/>
      <c r="C1" s="1"/>
      <c r="D1" s="1"/>
    </row>
    <row r="2" spans="1:4" ht="15.75" thickBot="1" x14ac:dyDescent="0.3">
      <c r="A2" s="8" t="s">
        <v>13</v>
      </c>
      <c r="B2" s="9" t="s">
        <v>14</v>
      </c>
      <c r="C2" s="9" t="s">
        <v>15</v>
      </c>
      <c r="D2" s="9" t="s">
        <v>16</v>
      </c>
    </row>
    <row r="3" spans="1:4" x14ac:dyDescent="0.25">
      <c r="A3" s="6" t="str">
        <f>"ATIVO"</f>
        <v>ATIVO</v>
      </c>
      <c r="B3" s="7" t="str">
        <f>""</f>
        <v/>
      </c>
      <c r="C3" s="7" t="str">
        <f>""</f>
        <v/>
      </c>
      <c r="D3" s="7" t="str">
        <f>""</f>
        <v/>
      </c>
    </row>
    <row r="4" spans="1:4" x14ac:dyDescent="0.25">
      <c r="A4" s="2" t="str">
        <f>"1.0.0.00.00- ATIVO"</f>
        <v>1.0.0.00.00- ATIVO</v>
      </c>
      <c r="B4" s="10">
        <v>32521938.690000001</v>
      </c>
      <c r="C4" s="10">
        <v>2264660.9300000002</v>
      </c>
      <c r="D4" s="10">
        <v>34786599.619999997</v>
      </c>
    </row>
    <row r="5" spans="1:4" x14ac:dyDescent="0.25">
      <c r="A5" s="2" t="str">
        <f>"1.1.0.00.00- ATIVO CIRCULANTE"</f>
        <v>1.1.0.00.00- ATIVO CIRCULANTE</v>
      </c>
      <c r="B5" s="10">
        <v>22324055.199999999</v>
      </c>
      <c r="C5" s="10">
        <v>1748224.56</v>
      </c>
      <c r="D5" s="10">
        <v>24072279.760000002</v>
      </c>
    </row>
    <row r="6" spans="1:4" x14ac:dyDescent="0.25">
      <c r="A6" s="2" t="str">
        <f>"1.1.1.00.00- DISPONIVEL"</f>
        <v>1.1.1.00.00- DISPONIVEL</v>
      </c>
      <c r="B6" s="10">
        <v>10044945.77</v>
      </c>
      <c r="C6" s="10">
        <v>1372103.67</v>
      </c>
      <c r="D6" s="10">
        <v>11417049.439999999</v>
      </c>
    </row>
    <row r="7" spans="1:4" x14ac:dyDescent="0.25">
      <c r="A7" s="2" t="str">
        <f>"1.1.1.02.00- BANCOS C/MOVIMENTO"</f>
        <v>1.1.1.02.00- BANCOS C/MOVIMENTO</v>
      </c>
      <c r="B7" s="10">
        <v>458809.48</v>
      </c>
      <c r="C7" s="10">
        <v>147877.28</v>
      </c>
      <c r="D7" s="10">
        <v>606686.76</v>
      </c>
    </row>
    <row r="8" spans="1:4" x14ac:dyDescent="0.25">
      <c r="A8" s="2" t="str">
        <f>"1.1.1.02.11- Banco do Brasil S/A - 720.000-5"</f>
        <v>1.1.1.02.11- Banco do Brasil S/A - 720.000-5</v>
      </c>
      <c r="B8" s="10">
        <v>328.88</v>
      </c>
      <c r="C8" s="10">
        <v>-145.96</v>
      </c>
      <c r="D8" s="10">
        <v>182.92</v>
      </c>
    </row>
    <row r="9" spans="1:4" x14ac:dyDescent="0.25">
      <c r="A9" s="2" t="str">
        <f>"1.1.1.02.12- Banco do Brasil S/A - 720.001-3"</f>
        <v>1.1.1.02.12- Banco do Brasil S/A - 720.001-3</v>
      </c>
      <c r="B9" s="10">
        <v>58174.3</v>
      </c>
      <c r="C9" s="10">
        <v>19070.919999999998</v>
      </c>
      <c r="D9" s="10">
        <v>77245.22</v>
      </c>
    </row>
    <row r="10" spans="1:4" x14ac:dyDescent="0.25">
      <c r="A10" s="2" t="str">
        <f>"1.1.1.02.15- Banco do Brasil S/A - 7.218-4"</f>
        <v>1.1.1.02.15- Banco do Brasil S/A - 7.218-4</v>
      </c>
      <c r="B10" s="10">
        <v>55</v>
      </c>
      <c r="C10" s="10">
        <v>-55</v>
      </c>
      <c r="D10" s="10">
        <v>0</v>
      </c>
    </row>
    <row r="11" spans="1:4" x14ac:dyDescent="0.25">
      <c r="A11" s="2" t="str">
        <f>"1.1.1.02.19- Caixa Econ. Federal-C/C 1223-6"</f>
        <v>1.1.1.02.19- Caixa Econ. Federal-C/C 1223-6</v>
      </c>
      <c r="B11" s="10">
        <v>15302.42</v>
      </c>
      <c r="C11" s="10">
        <v>-30</v>
      </c>
      <c r="D11" s="10">
        <v>15272.42</v>
      </c>
    </row>
    <row r="12" spans="1:4" x14ac:dyDescent="0.25">
      <c r="A12" s="2" t="str">
        <f>"1.1.1.02.29- Caixa Econômica Federal - 3289-3 Arrecad"</f>
        <v>1.1.1.02.29- Caixa Econômica Federal - 3289-3 Arrecad</v>
      </c>
      <c r="B12" s="10">
        <v>44227.6</v>
      </c>
      <c r="C12" s="10">
        <v>64755.39</v>
      </c>
      <c r="D12" s="10">
        <v>108982.99</v>
      </c>
    </row>
    <row r="13" spans="1:4" x14ac:dyDescent="0.25">
      <c r="A13" s="2" t="str">
        <f>"1.1.1.02.30- Caixa Econômica Federal - 3291-5 Movimen"</f>
        <v>1.1.1.02.30- Caixa Econômica Federal - 3291-5 Movimen</v>
      </c>
      <c r="B13" s="10">
        <v>794.7</v>
      </c>
      <c r="C13" s="10">
        <v>-1275.95</v>
      </c>
      <c r="D13" s="10">
        <v>-481.25</v>
      </c>
    </row>
    <row r="14" spans="1:4" x14ac:dyDescent="0.25">
      <c r="A14" s="2" t="str">
        <f>"1.1.1.02.32- Caixa Econômica Federal - 3292-3 Leilão"</f>
        <v>1.1.1.02.32- Caixa Econômica Federal - 3292-3 Leilão</v>
      </c>
      <c r="B14" s="10">
        <v>80</v>
      </c>
      <c r="C14" s="10">
        <v>0</v>
      </c>
      <c r="D14" s="10">
        <v>80</v>
      </c>
    </row>
    <row r="15" spans="1:4" x14ac:dyDescent="0.25">
      <c r="A15" s="2" t="str">
        <f>"1.1.1.02.33- Caixa Econômica Federal - 3295-8Leilão13"</f>
        <v>1.1.1.02.33- Caixa Econômica Federal - 3295-8Leilão13</v>
      </c>
      <c r="B15" s="10">
        <v>80</v>
      </c>
      <c r="C15" s="10">
        <v>0</v>
      </c>
      <c r="D15" s="10">
        <v>80</v>
      </c>
    </row>
    <row r="16" spans="1:4" x14ac:dyDescent="0.25">
      <c r="A16" s="2" t="str">
        <f>"1.1.1.02.37- Caixa Econômica Federal - 3299-0Leilão16"</f>
        <v>1.1.1.02.37- Caixa Econômica Federal - 3299-0Leilão16</v>
      </c>
      <c r="B16" s="10">
        <v>80</v>
      </c>
      <c r="C16" s="10">
        <v>0</v>
      </c>
      <c r="D16" s="10">
        <v>80</v>
      </c>
    </row>
    <row r="17" spans="1:4" x14ac:dyDescent="0.25">
      <c r="A17" s="2" t="str">
        <f>"1.1.1.02.39- Caixa Econômica Federal - 3301-6 Mídia"</f>
        <v>1.1.1.02.39- Caixa Econômica Federal - 3301-6 Mídia</v>
      </c>
      <c r="B17" s="10">
        <v>5255.39</v>
      </c>
      <c r="C17" s="10">
        <v>4002.82</v>
      </c>
      <c r="D17" s="10">
        <v>9258.2099999999991</v>
      </c>
    </row>
    <row r="18" spans="1:4" x14ac:dyDescent="0.25">
      <c r="A18" s="2" t="str">
        <f>"1.1.1.02.40- Caixa Econômica Federal - 3302-4 Mídia"</f>
        <v>1.1.1.02.40- Caixa Econômica Federal - 3302-4 Mídia</v>
      </c>
      <c r="B18" s="10">
        <v>43852.07</v>
      </c>
      <c r="C18" s="10">
        <v>13150.4</v>
      </c>
      <c r="D18" s="10">
        <v>57002.47</v>
      </c>
    </row>
    <row r="19" spans="1:4" x14ac:dyDescent="0.25">
      <c r="A19" s="2" t="str">
        <f>"1.1.1.02.41- Caixa Econômica Federal - 3303-2Rotativo"</f>
        <v>1.1.1.02.41- Caixa Econômica Federal - 3303-2Rotativo</v>
      </c>
      <c r="B19" s="10">
        <v>290579.12</v>
      </c>
      <c r="C19" s="10">
        <v>48404.66</v>
      </c>
      <c r="D19" s="10">
        <v>338983.78</v>
      </c>
    </row>
    <row r="20" spans="1:4" x14ac:dyDescent="0.25">
      <c r="A20" s="2" t="str">
        <f>"1.1.1.03.00- APLICACOES FINANCEIRAS"</f>
        <v>1.1.1.03.00- APLICACOES FINANCEIRAS</v>
      </c>
      <c r="B20" s="10">
        <v>5752219.5300000003</v>
      </c>
      <c r="C20" s="10">
        <v>1408125.18</v>
      </c>
      <c r="D20" s="10">
        <v>7160344.71</v>
      </c>
    </row>
    <row r="21" spans="1:4" x14ac:dyDescent="0.25">
      <c r="A21" s="2" t="str">
        <f>"1.1.1.03.23- Caixa Econômica Federal - 3291-5"</f>
        <v>1.1.1.03.23- Caixa Econômica Federal - 3291-5</v>
      </c>
      <c r="B21" s="10">
        <v>4627169.5</v>
      </c>
      <c r="C21" s="10">
        <v>1435190.17</v>
      </c>
      <c r="D21" s="10">
        <v>6062359.6699999999</v>
      </c>
    </row>
    <row r="22" spans="1:4" x14ac:dyDescent="0.25">
      <c r="A22" s="2" t="str">
        <f>"1.1.1.03.25- Caixa Econômica Federal - 3292-3 Leilão"</f>
        <v>1.1.1.03.25- Caixa Econômica Federal - 3292-3 Leilão</v>
      </c>
      <c r="B22" s="10">
        <v>69160.850000000006</v>
      </c>
      <c r="C22" s="10">
        <v>232.42</v>
      </c>
      <c r="D22" s="10">
        <v>69393.27</v>
      </c>
    </row>
    <row r="23" spans="1:4" x14ac:dyDescent="0.25">
      <c r="A23" s="2" t="str">
        <f>"1.1.1.03.26- Caixa Econômica Federal - 3295-8Leilão13"</f>
        <v>1.1.1.03.26- Caixa Econômica Federal - 3295-8Leilão13</v>
      </c>
      <c r="B23" s="10">
        <v>192221</v>
      </c>
      <c r="C23" s="10">
        <v>645.96</v>
      </c>
      <c r="D23" s="10">
        <v>192866.96</v>
      </c>
    </row>
    <row r="24" spans="1:4" x14ac:dyDescent="0.25">
      <c r="A24" s="2" t="str">
        <f>"1.1.1.03.29- Caixa Econômica Federal - 3298-2Leilão15"</f>
        <v>1.1.1.03.29- Caixa Econômica Federal - 3298-2Leilão15</v>
      </c>
      <c r="B24" s="10">
        <v>95310.46</v>
      </c>
      <c r="C24" s="10">
        <v>202.19</v>
      </c>
      <c r="D24" s="10">
        <v>95512.65</v>
      </c>
    </row>
    <row r="25" spans="1:4" x14ac:dyDescent="0.25">
      <c r="A25" s="2" t="str">
        <f>"1.1.1.03.30- Caixa Econômica Federal - 3299-0Leilão16"</f>
        <v>1.1.1.03.30- Caixa Econômica Federal - 3299-0Leilão16</v>
      </c>
      <c r="B25" s="10">
        <v>119203.21</v>
      </c>
      <c r="C25" s="10">
        <v>334.8</v>
      </c>
      <c r="D25" s="10">
        <v>119538.01</v>
      </c>
    </row>
    <row r="26" spans="1:4" x14ac:dyDescent="0.25">
      <c r="A26" s="2" t="str">
        <f>"1.1.1.03.31- Caixa Econômica Federal - 3300-8Leilão16"</f>
        <v>1.1.1.03.31- Caixa Econômica Federal - 3300-8Leilão16</v>
      </c>
      <c r="B26" s="10">
        <v>42979.63</v>
      </c>
      <c r="C26" s="10">
        <v>174.35</v>
      </c>
      <c r="D26" s="10">
        <v>43153.98</v>
      </c>
    </row>
    <row r="27" spans="1:4" x14ac:dyDescent="0.25">
      <c r="A27" s="2" t="str">
        <f>"1.1.1.03.32- Caixa Econômica - 3301-6 Mídia"</f>
        <v>1.1.1.03.32- Caixa Econômica - 3301-6 Mídia</v>
      </c>
      <c r="B27" s="10">
        <v>70333.320000000007</v>
      </c>
      <c r="C27" s="10">
        <v>179.86</v>
      </c>
      <c r="D27" s="10">
        <v>70513.179999999993</v>
      </c>
    </row>
    <row r="28" spans="1:4" x14ac:dyDescent="0.25">
      <c r="A28" s="2" t="str">
        <f>"1.1.1.03.35- Caixa Econômica - 3304-0Caução"</f>
        <v>1.1.1.03.35- Caixa Econômica - 3304-0Caução</v>
      </c>
      <c r="B28" s="10">
        <v>405587.91</v>
      </c>
      <c r="C28" s="10">
        <v>1147.58</v>
      </c>
      <c r="D28" s="10">
        <v>406735.49</v>
      </c>
    </row>
    <row r="29" spans="1:4" x14ac:dyDescent="0.25">
      <c r="A29" s="2" t="str">
        <f>"1.1.1.03.36- Caixa Econômica - 3305-9Sucumb."</f>
        <v>1.1.1.03.36- Caixa Econômica - 3305-9Sucumb.</v>
      </c>
      <c r="B29" s="10">
        <v>4446.88</v>
      </c>
      <c r="C29" s="10">
        <v>12.02</v>
      </c>
      <c r="D29" s="10">
        <v>4458.8999999999996</v>
      </c>
    </row>
    <row r="30" spans="1:4" x14ac:dyDescent="0.25">
      <c r="A30" s="2" t="str">
        <f>"1.1.1.03.38- Caixa Econômica - 3308-3Leilão"</f>
        <v>1.1.1.03.38- Caixa Econômica - 3308-3Leilão</v>
      </c>
      <c r="B30" s="10">
        <v>2061.0700000000002</v>
      </c>
      <c r="C30" s="10">
        <v>5.83</v>
      </c>
      <c r="D30" s="10">
        <v>2066.9</v>
      </c>
    </row>
    <row r="31" spans="1:4" x14ac:dyDescent="0.25">
      <c r="A31" s="2" t="str">
        <f>"1.1.1.03.41- Caixa Econômica - 531-0 Aci moto poupanç"</f>
        <v>1.1.1.03.41- Caixa Econômica - 531-0 Aci moto poupanç</v>
      </c>
      <c r="B31" s="10">
        <v>4262.41</v>
      </c>
      <c r="C31" s="10">
        <v>0</v>
      </c>
      <c r="D31" s="10">
        <v>4262.41</v>
      </c>
    </row>
    <row r="32" spans="1:4" x14ac:dyDescent="0.25">
      <c r="A32" s="2" t="str">
        <f>"1.1.1.03.42- Caixa Econômica - 532-9 Acid Ped Poupanç"</f>
        <v>1.1.1.03.42- Caixa Econômica - 532-9 Acid Ped Poupanç</v>
      </c>
      <c r="B32" s="10">
        <v>33669.56</v>
      </c>
      <c r="C32" s="10">
        <v>-30000</v>
      </c>
      <c r="D32" s="10">
        <v>3669.56</v>
      </c>
    </row>
    <row r="33" spans="1:4" x14ac:dyDescent="0.25">
      <c r="A33" s="2" t="str">
        <f>"1.1.1.03.43- Caixa Econômica - 534-5 Codemig Poupança"</f>
        <v>1.1.1.03.43- Caixa Econômica - 534-5 Codemig Poupança</v>
      </c>
      <c r="B33" s="10">
        <v>24802.39</v>
      </c>
      <c r="C33" s="10">
        <v>0</v>
      </c>
      <c r="D33" s="10">
        <v>24802.39</v>
      </c>
    </row>
    <row r="34" spans="1:4" x14ac:dyDescent="0.25">
      <c r="A34" s="2" t="str">
        <f>"1.1.1.03.44- Caixa Econômica - 535-3 Turblog Poupança"</f>
        <v>1.1.1.03.44- Caixa Econômica - 535-3 Turblog Poupança</v>
      </c>
      <c r="B34" s="10">
        <v>61011.34</v>
      </c>
      <c r="C34" s="10">
        <v>0</v>
      </c>
      <c r="D34" s="10">
        <v>61011.34</v>
      </c>
    </row>
    <row r="35" spans="1:4" x14ac:dyDescent="0.25">
      <c r="A35" s="2" t="str">
        <f>"1.1.1.04.00- BANCOS C/VINCULADA-PAMEH"</f>
        <v>1.1.1.04.00- BANCOS C/VINCULADA-PAMEH</v>
      </c>
      <c r="B35" s="10">
        <v>3833916.76</v>
      </c>
      <c r="C35" s="10">
        <v>-183898.79</v>
      </c>
      <c r="D35" s="10">
        <v>3650017.97</v>
      </c>
    </row>
    <row r="36" spans="1:4" x14ac:dyDescent="0.25">
      <c r="A36" s="2" t="str">
        <f>"1.1.1.04.04- Mercantil do Brasil 02733249-2"</f>
        <v>1.1.1.04.04- Mercantil do Brasil 02733249-2</v>
      </c>
      <c r="B36" s="10">
        <v>207.81</v>
      </c>
      <c r="C36" s="10">
        <v>0</v>
      </c>
      <c r="D36" s="10">
        <v>207.81</v>
      </c>
    </row>
    <row r="37" spans="1:4" x14ac:dyDescent="0.25">
      <c r="A37" s="2" t="str">
        <f>"1.1.1.04.07- Caixa Econômica Federal - 3294-0"</f>
        <v>1.1.1.04.07- Caixa Econômica Federal - 3294-0</v>
      </c>
      <c r="B37" s="10">
        <v>50</v>
      </c>
      <c r="C37" s="10">
        <v>-50</v>
      </c>
      <c r="D37" s="10">
        <v>0</v>
      </c>
    </row>
    <row r="38" spans="1:4" x14ac:dyDescent="0.25">
      <c r="A38" s="2" t="str">
        <f>"1.1.1.04.08- Caixa Econômica Federal - 3294-0 Aplic."</f>
        <v>1.1.1.04.08- Caixa Econômica Federal - 3294-0 Aplic.</v>
      </c>
      <c r="B38" s="10">
        <v>3833658.95</v>
      </c>
      <c r="C38" s="10">
        <v>-183848.79</v>
      </c>
      <c r="D38" s="10">
        <v>3649810.16</v>
      </c>
    </row>
    <row r="39" spans="1:4" x14ac:dyDescent="0.25">
      <c r="A39" s="2" t="str">
        <f>"1.1.2.00.00- REALIZAVEL A CURTO PRAZO"</f>
        <v>1.1.2.00.00- REALIZAVEL A CURTO PRAZO</v>
      </c>
      <c r="B39" s="10">
        <v>12279109.43</v>
      </c>
      <c r="C39" s="10">
        <v>376120.89</v>
      </c>
      <c r="D39" s="10">
        <v>12655230.32</v>
      </c>
    </row>
    <row r="40" spans="1:4" x14ac:dyDescent="0.25">
      <c r="A40" s="2" t="str">
        <f>"1.1.2.01.00- CONTAS A RECEBER"</f>
        <v>1.1.2.01.00- CONTAS A RECEBER</v>
      </c>
      <c r="B40" s="10">
        <v>7477774.8200000003</v>
      </c>
      <c r="C40" s="10">
        <v>376402.59</v>
      </c>
      <c r="D40" s="10">
        <v>7854177.4100000001</v>
      </c>
    </row>
    <row r="41" spans="1:4" x14ac:dyDescent="0.25">
      <c r="A41" s="2" t="str">
        <f>"1.1.2.01.89- Multas Transporte Coletivo"</f>
        <v>1.1.2.01.89- Multas Transporte Coletivo</v>
      </c>
      <c r="B41" s="10">
        <v>8797092.2699999996</v>
      </c>
      <c r="C41" s="10">
        <v>418225.1</v>
      </c>
      <c r="D41" s="10">
        <v>9215317.3699999992</v>
      </c>
    </row>
    <row r="42" spans="1:4" x14ac:dyDescent="0.25">
      <c r="A42" s="2" t="str">
        <f>"1.1.2.01.94- Midia Onibus a Receber"</f>
        <v>1.1.2.01.94- Midia Onibus a Receber</v>
      </c>
      <c r="B42" s="10">
        <v>786491.64</v>
      </c>
      <c r="C42" s="10">
        <v>0</v>
      </c>
      <c r="D42" s="10">
        <v>786491.64</v>
      </c>
    </row>
    <row r="43" spans="1:4" x14ac:dyDescent="0.25">
      <c r="A43" s="2" t="str">
        <f>"1.1.2.01.99- (-) Provisao para Perdas"</f>
        <v>1.1.2.01.99- (-) Provisao para Perdas</v>
      </c>
      <c r="B43" s="10">
        <v>-2105809.09</v>
      </c>
      <c r="C43" s="10">
        <v>-41822.51</v>
      </c>
      <c r="D43" s="10">
        <v>-2147631.6</v>
      </c>
    </row>
    <row r="44" spans="1:4" x14ac:dyDescent="0.25">
      <c r="A44" s="2" t="str">
        <f>"1.1.2.06.00- ADIANTAMENTO A EMPREGADOS"</f>
        <v>1.1.2.06.00- ADIANTAMENTO A EMPREGADOS</v>
      </c>
      <c r="B44" s="10">
        <v>1465805.72</v>
      </c>
      <c r="C44" s="10">
        <v>15149.25</v>
      </c>
      <c r="D44" s="10">
        <v>1480954.97</v>
      </c>
    </row>
    <row r="45" spans="1:4" x14ac:dyDescent="0.25">
      <c r="A45" s="2" t="str">
        <f>"1.1.2.06.01- Adiantamento de Ferias"</f>
        <v>1.1.2.06.01- Adiantamento de Ferias</v>
      </c>
      <c r="B45" s="10">
        <v>592542.53</v>
      </c>
      <c r="C45" s="10">
        <v>-76516.94</v>
      </c>
      <c r="D45" s="10">
        <v>516025.59</v>
      </c>
    </row>
    <row r="46" spans="1:4" x14ac:dyDescent="0.25">
      <c r="A46" s="2" t="str">
        <f>"1.1.2.06.02- Adiantamento de 13. Salario"</f>
        <v>1.1.2.06.02- Adiantamento de 13. Salario</v>
      </c>
      <c r="B46" s="10">
        <v>677202.33</v>
      </c>
      <c r="C46" s="10">
        <v>95993.24</v>
      </c>
      <c r="D46" s="10">
        <v>773195.57</v>
      </c>
    </row>
    <row r="47" spans="1:4" x14ac:dyDescent="0.25">
      <c r="A47" s="2" t="str">
        <f>"1.1.2.06.03- Adiant. de Salario/Parc. Ferias"</f>
        <v>1.1.2.06.03- Adiant. de Salario/Parc. Ferias</v>
      </c>
      <c r="B47" s="10">
        <v>91144.2</v>
      </c>
      <c r="C47" s="10">
        <v>-4327.05</v>
      </c>
      <c r="D47" s="10">
        <v>86817.15</v>
      </c>
    </row>
    <row r="48" spans="1:4" x14ac:dyDescent="0.25">
      <c r="A48" s="2" t="str">
        <f>"1.1.2.06.06- Diferencas Salariais a Apropriar"</f>
        <v>1.1.2.06.06- Diferencas Salariais a Apropriar</v>
      </c>
      <c r="B48" s="10">
        <v>7335.29</v>
      </c>
      <c r="C48" s="10">
        <v>0</v>
      </c>
      <c r="D48" s="10">
        <v>7335.29</v>
      </c>
    </row>
    <row r="49" spans="1:4" x14ac:dyDescent="0.25">
      <c r="A49" s="2" t="str">
        <f>"1.1.2.06.07- Adiantamento Pensao s/ Ferias"</f>
        <v>1.1.2.06.07- Adiantamento Pensao s/ Ferias</v>
      </c>
      <c r="B49" s="10">
        <v>97581.37</v>
      </c>
      <c r="C49" s="10">
        <v>0</v>
      </c>
      <c r="D49" s="10">
        <v>97581.37</v>
      </c>
    </row>
    <row r="50" spans="1:4" x14ac:dyDescent="0.25">
      <c r="A50" s="2" t="str">
        <f>"1.1.2.08.00- ALMOXARIFADO"</f>
        <v>1.1.2.08.00- ALMOXARIFADO</v>
      </c>
      <c r="B50" s="10">
        <v>266797.28999999998</v>
      </c>
      <c r="C50" s="10">
        <v>47124.29</v>
      </c>
      <c r="D50" s="10">
        <v>313921.58</v>
      </c>
    </row>
    <row r="51" spans="1:4" x14ac:dyDescent="0.25">
      <c r="A51" s="2" t="str">
        <f>"1.1.2.08.01- Material em Estoque"</f>
        <v>1.1.2.08.01- Material em Estoque</v>
      </c>
      <c r="B51" s="10">
        <v>266797.28999999998</v>
      </c>
      <c r="C51" s="10">
        <v>47124.29</v>
      </c>
      <c r="D51" s="10">
        <v>313921.58</v>
      </c>
    </row>
    <row r="52" spans="1:4" x14ac:dyDescent="0.25">
      <c r="A52" s="2" t="str">
        <f>"1.1.2.10.00- IMPOSTOS E CONTRIB.A RECUPERAR"</f>
        <v>1.1.2.10.00- IMPOSTOS E CONTRIB.A RECUPERAR</v>
      </c>
      <c r="B52" s="10">
        <v>1827454.36</v>
      </c>
      <c r="C52" s="10">
        <v>-11207.25</v>
      </c>
      <c r="D52" s="10">
        <v>1816247.11</v>
      </c>
    </row>
    <row r="53" spans="1:4" x14ac:dyDescent="0.25">
      <c r="A53" s="2" t="str">
        <f>"1.1.2.10.01- IR s/Aplicacao Financeira"</f>
        <v>1.1.2.10.01- IR s/Aplicacao Financeira</v>
      </c>
      <c r="B53" s="10">
        <v>395670.22</v>
      </c>
      <c r="C53" s="10">
        <v>24513.200000000001</v>
      </c>
      <c r="D53" s="10">
        <v>420183.42</v>
      </c>
    </row>
    <row r="54" spans="1:4" x14ac:dyDescent="0.25">
      <c r="A54" s="2" t="str">
        <f>"1.1.2.10.08- IRRF a Compensar"</f>
        <v>1.1.2.10.08- IRRF a Compensar</v>
      </c>
      <c r="B54" s="10">
        <v>1454.99</v>
      </c>
      <c r="C54" s="10">
        <v>0</v>
      </c>
      <c r="D54" s="10">
        <v>1454.99</v>
      </c>
    </row>
    <row r="55" spans="1:4" x14ac:dyDescent="0.25">
      <c r="A55" s="2" t="str">
        <f>"1.1.2.10.10- INSS a Recuperar"</f>
        <v>1.1.2.10.10- INSS a Recuperar</v>
      </c>
      <c r="B55" s="10">
        <v>51768.62</v>
      </c>
      <c r="C55" s="10">
        <v>-35819.629999999997</v>
      </c>
      <c r="D55" s="10">
        <v>15948.99</v>
      </c>
    </row>
    <row r="56" spans="1:4" x14ac:dyDescent="0.25">
      <c r="A56" s="2" t="str">
        <f>"1.1.2.10.15- Cofins a Compensar"</f>
        <v>1.1.2.10.15- Cofins a Compensar</v>
      </c>
      <c r="B56" s="10">
        <v>1039251.04</v>
      </c>
      <c r="C56" s="10">
        <v>0.02</v>
      </c>
      <c r="D56" s="10">
        <v>1039251.06</v>
      </c>
    </row>
    <row r="57" spans="1:4" x14ac:dyDescent="0.25">
      <c r="A57" s="2" t="str">
        <f>"1.1.2.10.16- PIS a Compensar"</f>
        <v>1.1.2.10.16- PIS a Compensar</v>
      </c>
      <c r="B57" s="10">
        <v>224393.87</v>
      </c>
      <c r="C57" s="10">
        <v>0.01</v>
      </c>
      <c r="D57" s="10">
        <v>224393.88</v>
      </c>
    </row>
    <row r="58" spans="1:4" x14ac:dyDescent="0.25">
      <c r="A58" s="2" t="str">
        <f>"1.1.2.10.20- V.M.A PIS a Recuperar"</f>
        <v>1.1.2.10.20- V.M.A PIS a Recuperar</v>
      </c>
      <c r="B58" s="10">
        <v>1044.3</v>
      </c>
      <c r="C58" s="10">
        <v>54.29</v>
      </c>
      <c r="D58" s="10">
        <v>1098.5899999999999</v>
      </c>
    </row>
    <row r="59" spans="1:4" x14ac:dyDescent="0.25">
      <c r="A59" s="2" t="str">
        <f>"1.1.2.10.21- V.M.A IRRF a Compensar"</f>
        <v>1.1.2.10.21- V.M.A IRRF a Compensar</v>
      </c>
      <c r="B59" s="10">
        <v>396.22</v>
      </c>
      <c r="C59" s="10">
        <v>13.53</v>
      </c>
      <c r="D59" s="10">
        <v>409.75</v>
      </c>
    </row>
    <row r="60" spans="1:4" x14ac:dyDescent="0.25">
      <c r="A60" s="2" t="str">
        <f>"1.1.2.10.22- V.M.A COFINS a Compensar"</f>
        <v>1.1.2.10.22- V.M.A COFINS a Compensar</v>
      </c>
      <c r="B60" s="10">
        <v>5211.33</v>
      </c>
      <c r="C60" s="10">
        <v>31.33</v>
      </c>
      <c r="D60" s="10">
        <v>5242.66</v>
      </c>
    </row>
    <row r="61" spans="1:4" x14ac:dyDescent="0.25">
      <c r="A61" s="2" t="str">
        <f>"1.1.2.10.25- INSS a recuperar segurados"</f>
        <v>1.1.2.10.25- INSS a recuperar segurados</v>
      </c>
      <c r="B61" s="10">
        <v>108263.77</v>
      </c>
      <c r="C61" s="10">
        <v>0</v>
      </c>
      <c r="D61" s="10">
        <v>108263.77</v>
      </c>
    </row>
    <row r="62" spans="1:4" x14ac:dyDescent="0.25">
      <c r="A62" s="2" t="str">
        <f>"1.1.2.11.00- DESPESAS ANTECIPADAS"</f>
        <v>1.1.2.11.00- DESPESAS ANTECIPADAS</v>
      </c>
      <c r="B62" s="10">
        <v>7694.58</v>
      </c>
      <c r="C62" s="10">
        <v>-709.62</v>
      </c>
      <c r="D62" s="10">
        <v>6984.96</v>
      </c>
    </row>
    <row r="63" spans="1:4" x14ac:dyDescent="0.25">
      <c r="A63" s="2" t="str">
        <f>"1.1.2.11.01- Premios de Seguros a Vencer"</f>
        <v>1.1.2.11.01- Premios de Seguros a Vencer</v>
      </c>
      <c r="B63" s="10">
        <v>7694.58</v>
      </c>
      <c r="C63" s="10">
        <v>-709.62</v>
      </c>
      <c r="D63" s="10">
        <v>6984.96</v>
      </c>
    </row>
    <row r="64" spans="1:4" x14ac:dyDescent="0.25">
      <c r="A64" s="2" t="str">
        <f>"1.1.2.12.00- VALORES VINC.A RECEBER-PAMEH"</f>
        <v>1.1.2.12.00- VALORES VINC.A RECEBER-PAMEH</v>
      </c>
      <c r="B64" s="10">
        <v>639286.82999999996</v>
      </c>
      <c r="C64" s="10">
        <v>-995.17</v>
      </c>
      <c r="D64" s="10">
        <v>638291.66</v>
      </c>
    </row>
    <row r="65" spans="1:4" x14ac:dyDescent="0.25">
      <c r="A65" s="2" t="str">
        <f>"1.1.2.12.01- Valores Vinculados-PAMEH"</f>
        <v>1.1.2.12.01- Valores Vinculados-PAMEH</v>
      </c>
      <c r="B65" s="10">
        <v>639286.82999999996</v>
      </c>
      <c r="C65" s="10">
        <v>-995.17</v>
      </c>
      <c r="D65" s="10">
        <v>638291.66</v>
      </c>
    </row>
    <row r="66" spans="1:4" x14ac:dyDescent="0.25">
      <c r="A66" s="2" t="str">
        <f>"1.1.2.14.00- CONTAS TRANSITORIAS - GRUPO ATIVO"</f>
        <v>1.1.2.14.00- CONTAS TRANSITORIAS - GRUPO ATIVO</v>
      </c>
      <c r="B66" s="10">
        <v>553241.24</v>
      </c>
      <c r="C66" s="10">
        <v>-17790.66</v>
      </c>
      <c r="D66" s="10">
        <v>535450.57999999996</v>
      </c>
    </row>
    <row r="67" spans="1:4" x14ac:dyDescent="0.25">
      <c r="A67" s="2" t="str">
        <f>"1.1.2.14.05- Transitoria Folha de Pagamento"</f>
        <v>1.1.2.14.05- Transitoria Folha de Pagamento</v>
      </c>
      <c r="B67" s="10">
        <v>553241.24</v>
      </c>
      <c r="C67" s="10">
        <v>-17790.66</v>
      </c>
      <c r="D67" s="10">
        <v>535450.57999999996</v>
      </c>
    </row>
    <row r="68" spans="1:4" x14ac:dyDescent="0.25">
      <c r="A68" s="2" t="str">
        <f>"1.1.2.15.00- CARNE ESTACIONAMENTO ROTATIVO"</f>
        <v>1.1.2.15.00- CARNE ESTACIONAMENTO ROTATIVO</v>
      </c>
      <c r="B68" s="10">
        <v>41054.589999999997</v>
      </c>
      <c r="C68" s="10">
        <v>-31852.54</v>
      </c>
      <c r="D68" s="10">
        <v>9202.0499999999993</v>
      </c>
    </row>
    <row r="69" spans="1:4" x14ac:dyDescent="0.25">
      <c r="A69" s="2" t="str">
        <f>"1.1.2.15.01- Carne Rotativo"</f>
        <v>1.1.2.15.01- Carne Rotativo</v>
      </c>
      <c r="B69" s="10">
        <v>41054.589999999997</v>
      </c>
      <c r="C69" s="10">
        <v>-31852.54</v>
      </c>
      <c r="D69" s="10">
        <v>9202.0499999999993</v>
      </c>
    </row>
    <row r="70" spans="1:4" x14ac:dyDescent="0.25">
      <c r="A70" s="2" t="str">
        <f>"1.2.0.00.00- ATIVO NAO CIRCULANTE"</f>
        <v>1.2.0.00.00- ATIVO NAO CIRCULANTE</v>
      </c>
      <c r="B70" s="10">
        <v>10197883.49</v>
      </c>
      <c r="C70" s="10">
        <v>516436.37</v>
      </c>
      <c r="D70" s="10">
        <v>10714319.859999999</v>
      </c>
    </row>
    <row r="71" spans="1:4" x14ac:dyDescent="0.25">
      <c r="A71" s="2" t="str">
        <f>"1.2.1.00.00- REALIZAVEL A LONGO PRAZO"</f>
        <v>1.2.1.00.00- REALIZAVEL A LONGO PRAZO</v>
      </c>
      <c r="B71" s="10">
        <v>7988772.1299999999</v>
      </c>
      <c r="C71" s="10">
        <v>538655.68999999994</v>
      </c>
      <c r="D71" s="10">
        <v>8527427.8200000003</v>
      </c>
    </row>
    <row r="72" spans="1:4" x14ac:dyDescent="0.25">
      <c r="A72" s="2" t="str">
        <f>"1.2.1.01.00- CREDITOS E VALORES A RECEBER"</f>
        <v>1.2.1.01.00- CREDITOS E VALORES A RECEBER</v>
      </c>
      <c r="B72" s="10">
        <v>7988772.1299999999</v>
      </c>
      <c r="C72" s="10">
        <v>538655.68999999994</v>
      </c>
      <c r="D72" s="10">
        <v>8527427.8200000003</v>
      </c>
    </row>
    <row r="73" spans="1:4" x14ac:dyDescent="0.25">
      <c r="A73" s="2" t="str">
        <f>"1.2.1.01.01- Depositos Judiciais"</f>
        <v>1.2.1.01.01- Depositos Judiciais</v>
      </c>
      <c r="B73" s="10">
        <v>2153506.88</v>
      </c>
      <c r="C73" s="10">
        <v>538655.68999999994</v>
      </c>
      <c r="D73" s="10">
        <v>2692162.57</v>
      </c>
    </row>
    <row r="74" spans="1:4" x14ac:dyDescent="0.25">
      <c r="A74" s="2" t="str">
        <f>"1.2.1.01.03- Depositos Judiciais de Terceiros"</f>
        <v>1.2.1.01.03- Depositos Judiciais de Terceiros</v>
      </c>
      <c r="B74" s="10">
        <v>357770.4</v>
      </c>
      <c r="C74" s="10">
        <v>0</v>
      </c>
      <c r="D74" s="10">
        <v>357770.4</v>
      </c>
    </row>
    <row r="75" spans="1:4" x14ac:dyDescent="0.25">
      <c r="A75" s="2" t="str">
        <f>"1.2.1.01.04- Convenio Prefeitura Betim"</f>
        <v>1.2.1.01.04- Convenio Prefeitura Betim</v>
      </c>
      <c r="B75" s="10">
        <v>21463.9</v>
      </c>
      <c r="C75" s="10">
        <v>0</v>
      </c>
      <c r="D75" s="10">
        <v>21463.9</v>
      </c>
    </row>
    <row r="76" spans="1:4" x14ac:dyDescent="0.25">
      <c r="A76" s="2" t="str">
        <f>"1.2.1.01.05- Convenio IPSEMG"</f>
        <v>1.2.1.01.05- Convenio IPSEMG</v>
      </c>
      <c r="B76" s="10">
        <v>21163.53</v>
      </c>
      <c r="C76" s="10">
        <v>0</v>
      </c>
      <c r="D76" s="10">
        <v>21163.53</v>
      </c>
    </row>
    <row r="77" spans="1:4" x14ac:dyDescent="0.25">
      <c r="A77" s="2" t="str">
        <f>"1.2.1.01.06- Multas Transporte Coletivo"</f>
        <v>1.2.1.01.06- Multas Transporte Coletivo</v>
      </c>
      <c r="B77" s="10">
        <v>5434867.4199999999</v>
      </c>
      <c r="C77" s="10">
        <v>0</v>
      </c>
      <c r="D77" s="10">
        <v>5434867.4199999999</v>
      </c>
    </row>
    <row r="78" spans="1:4" x14ac:dyDescent="0.25">
      <c r="A78" s="2" t="str">
        <f>"1.3.1.00.00- INVESTIMENTOS"</f>
        <v>1.3.1.00.00- INVESTIMENTOS</v>
      </c>
      <c r="B78" s="10">
        <v>26070</v>
      </c>
      <c r="C78" s="10">
        <v>0</v>
      </c>
      <c r="D78" s="10">
        <v>26070</v>
      </c>
    </row>
    <row r="79" spans="1:4" x14ac:dyDescent="0.25">
      <c r="A79" s="2" t="str">
        <f>"1.3.1.01.00- OUTROS INVESTIMENTOS"</f>
        <v>1.3.1.01.00- OUTROS INVESTIMENTOS</v>
      </c>
      <c r="B79" s="10">
        <v>26070</v>
      </c>
      <c r="C79" s="10">
        <v>0</v>
      </c>
      <c r="D79" s="10">
        <v>26070</v>
      </c>
    </row>
    <row r="80" spans="1:4" x14ac:dyDescent="0.25">
      <c r="A80" s="2" t="str">
        <f>"1.3.1.01.01- Obras de Arte"</f>
        <v>1.3.1.01.01- Obras de Arte</v>
      </c>
      <c r="B80" s="10">
        <v>25200</v>
      </c>
      <c r="C80" s="10">
        <v>0</v>
      </c>
      <c r="D80" s="10">
        <v>25200</v>
      </c>
    </row>
    <row r="81" spans="1:4" x14ac:dyDescent="0.25">
      <c r="A81" s="2" t="str">
        <f>"1.3.1.01.02- Participações Societárias - PBH ATIVOS"</f>
        <v>1.3.1.01.02- Participações Societárias - PBH ATIVOS</v>
      </c>
      <c r="B81" s="10">
        <v>870</v>
      </c>
      <c r="C81" s="10">
        <v>0</v>
      </c>
      <c r="D81" s="10">
        <v>870</v>
      </c>
    </row>
    <row r="82" spans="1:4" x14ac:dyDescent="0.25">
      <c r="A82" s="2" t="str">
        <f>"1.3.2.00.00- IMOBILIZADO"</f>
        <v>1.3.2.00.00- IMOBILIZADO</v>
      </c>
      <c r="B82" s="10">
        <v>6853388.3700000001</v>
      </c>
      <c r="C82" s="10">
        <v>0</v>
      </c>
      <c r="D82" s="10">
        <v>6853388.3700000001</v>
      </c>
    </row>
    <row r="83" spans="1:4" x14ac:dyDescent="0.25">
      <c r="A83" s="2" t="str">
        <f>"1.3.2.01.01- Maquinas e equipamentos"</f>
        <v>1.3.2.01.01- Maquinas e equipamentos</v>
      </c>
      <c r="B83" s="10">
        <v>226204.7</v>
      </c>
      <c r="C83" s="10">
        <v>0</v>
      </c>
      <c r="D83" s="10">
        <v>226204.7</v>
      </c>
    </row>
    <row r="84" spans="1:4" x14ac:dyDescent="0.25">
      <c r="A84" s="2" t="str">
        <f>"1.3.2.02.01- Ferramentas"</f>
        <v>1.3.2.02.01- Ferramentas</v>
      </c>
      <c r="B84" s="10">
        <v>9104.81</v>
      </c>
      <c r="C84" s="10">
        <v>0</v>
      </c>
      <c r="D84" s="10">
        <v>9104.81</v>
      </c>
    </row>
    <row r="85" spans="1:4" x14ac:dyDescent="0.25">
      <c r="A85" s="2" t="str">
        <f>"1.3.2.03.01- Equipamentos de comunicacao"</f>
        <v>1.3.2.03.01- Equipamentos de comunicacao</v>
      </c>
      <c r="B85" s="10">
        <v>191504.73</v>
      </c>
      <c r="C85" s="10">
        <v>0</v>
      </c>
      <c r="D85" s="10">
        <v>191504.73</v>
      </c>
    </row>
    <row r="86" spans="1:4" x14ac:dyDescent="0.25">
      <c r="A86" s="2" t="str">
        <f>"1.3.2.04.01- Instalacoes"</f>
        <v>1.3.2.04.01- Instalacoes</v>
      </c>
      <c r="B86" s="10">
        <v>85222.9</v>
      </c>
      <c r="C86" s="10">
        <v>0</v>
      </c>
      <c r="D86" s="10">
        <v>85222.9</v>
      </c>
    </row>
    <row r="87" spans="1:4" x14ac:dyDescent="0.25">
      <c r="A87" s="2" t="str">
        <f>"1.3.2.06.01- Moveis e utensilios"</f>
        <v>1.3.2.06.01- Moveis e utensilios</v>
      </c>
      <c r="B87" s="10">
        <v>538276.85</v>
      </c>
      <c r="C87" s="10">
        <v>0</v>
      </c>
      <c r="D87" s="10">
        <v>538276.85</v>
      </c>
    </row>
    <row r="88" spans="1:4" x14ac:dyDescent="0.25">
      <c r="A88" s="2" t="str">
        <f>"1.3.2.08.01- Instalacoes administrativas"</f>
        <v>1.3.2.08.01- Instalacoes administrativas</v>
      </c>
      <c r="B88" s="10">
        <v>99146.34</v>
      </c>
      <c r="C88" s="10">
        <v>0</v>
      </c>
      <c r="D88" s="10">
        <v>99146.34</v>
      </c>
    </row>
    <row r="89" spans="1:4" x14ac:dyDescent="0.25">
      <c r="A89" s="2" t="str">
        <f>"1.3.2.09.01- Aparelhos/equipamentos diversos"</f>
        <v>1.3.2.09.01- Aparelhos/equipamentos diversos</v>
      </c>
      <c r="B89" s="10">
        <v>603350.32999999996</v>
      </c>
      <c r="C89" s="10">
        <v>0</v>
      </c>
      <c r="D89" s="10">
        <v>603350.32999999996</v>
      </c>
    </row>
    <row r="90" spans="1:4" x14ac:dyDescent="0.25">
      <c r="A90" s="2" t="str">
        <f>"1.3.2.10.01- Equip. p/ processamento de dados"</f>
        <v>1.3.2.10.01- Equip. p/ processamento de dados</v>
      </c>
      <c r="B90" s="10">
        <v>696029.05</v>
      </c>
      <c r="C90" s="10">
        <v>0</v>
      </c>
      <c r="D90" s="10">
        <v>696029.05</v>
      </c>
    </row>
    <row r="91" spans="1:4" x14ac:dyDescent="0.25">
      <c r="A91" s="2" t="str">
        <f>"1.3.2.12.01- Micros/impressoras e acessorios"</f>
        <v>1.3.2.12.01- Micros/impressoras e acessorios</v>
      </c>
      <c r="B91" s="10">
        <v>2687164.28</v>
      </c>
      <c r="C91" s="10">
        <v>0</v>
      </c>
      <c r="D91" s="10">
        <v>2687164.28</v>
      </c>
    </row>
    <row r="92" spans="1:4" x14ac:dyDescent="0.25">
      <c r="A92" s="2" t="str">
        <f>"1.3.2.13.01- Imobilizacao em imoveis de terceiros"</f>
        <v>1.3.2.13.01- Imobilizacao em imoveis de terceiros</v>
      </c>
      <c r="B92" s="10">
        <v>1673924.44</v>
      </c>
      <c r="C92" s="10">
        <v>0</v>
      </c>
      <c r="D92" s="10">
        <v>1673924.44</v>
      </c>
    </row>
    <row r="93" spans="1:4" x14ac:dyDescent="0.25">
      <c r="A93" s="2" t="str">
        <f>"1.3.2.14.02- Estacao pampulha"</f>
        <v>1.3.2.14.02- Estacao pampulha</v>
      </c>
      <c r="B93" s="10">
        <v>43459.94</v>
      </c>
      <c r="C93" s="10">
        <v>0</v>
      </c>
      <c r="D93" s="10">
        <v>43459.94</v>
      </c>
    </row>
    <row r="94" spans="1:4" x14ac:dyDescent="0.25">
      <c r="A94" s="2" t="str">
        <f>"1.3.3.00.00- INTANGIVEL"</f>
        <v>1.3.3.00.00- INTANGIVEL</v>
      </c>
      <c r="B94" s="10">
        <v>891163.55</v>
      </c>
      <c r="C94" s="10">
        <v>0</v>
      </c>
      <c r="D94" s="10">
        <v>891163.55</v>
      </c>
    </row>
    <row r="95" spans="1:4" x14ac:dyDescent="0.25">
      <c r="A95" s="2" t="str">
        <f>"1.3.3.03.00- MARCAS E PATENTES"</f>
        <v>1.3.3.03.00- MARCAS E PATENTES</v>
      </c>
      <c r="B95" s="10">
        <v>808</v>
      </c>
      <c r="C95" s="10">
        <v>0</v>
      </c>
      <c r="D95" s="10">
        <v>808</v>
      </c>
    </row>
    <row r="96" spans="1:4" x14ac:dyDescent="0.25">
      <c r="A96" s="2" t="str">
        <f>"1.3.3.03.01- Marcas e Patentes"</f>
        <v>1.3.3.03.01- Marcas e Patentes</v>
      </c>
      <c r="B96" s="10">
        <v>808</v>
      </c>
      <c r="C96" s="10">
        <v>0</v>
      </c>
      <c r="D96" s="10">
        <v>808</v>
      </c>
    </row>
    <row r="97" spans="1:4" x14ac:dyDescent="0.25">
      <c r="A97" s="2" t="str">
        <f>"1.3.3.04.01- Programas e Sistemas"</f>
        <v>1.3.3.04.01- Programas e Sistemas</v>
      </c>
      <c r="B97" s="10">
        <v>890355.55</v>
      </c>
      <c r="C97" s="10">
        <v>0</v>
      </c>
      <c r="D97" s="10">
        <v>890355.55</v>
      </c>
    </row>
    <row r="98" spans="1:4" x14ac:dyDescent="0.25">
      <c r="A98" s="2" t="str">
        <f>"1.3.5.00.00- ( - )DEPRECIACAO E AMORTIZACAO"</f>
        <v>1.3.5.00.00- ( - )DEPRECIACAO E AMORTIZACAO</v>
      </c>
      <c r="B98" s="10">
        <v>-5561510.5599999996</v>
      </c>
      <c r="C98" s="10">
        <v>-22219.32</v>
      </c>
      <c r="D98" s="10">
        <v>-5583729.8799999999</v>
      </c>
    </row>
    <row r="99" spans="1:4" x14ac:dyDescent="0.25">
      <c r="A99" s="2" t="str">
        <f>"1.3.5.01.00- ( - ) DEPRECIACAO E AMORTIZACAO"</f>
        <v>1.3.5.01.00- ( - ) DEPRECIACAO E AMORTIZACAO</v>
      </c>
      <c r="B99" s="10">
        <v>-5561510.5599999996</v>
      </c>
      <c r="C99" s="10">
        <v>-22219.32</v>
      </c>
      <c r="D99" s="10">
        <v>-5583729.8799999999</v>
      </c>
    </row>
    <row r="100" spans="1:4" x14ac:dyDescent="0.25">
      <c r="A100" s="2" t="str">
        <f>"1.3.5.01.01- ( - ) Moveis e Utensilios"</f>
        <v>1.3.5.01.01- ( - ) Moveis e Utensilios</v>
      </c>
      <c r="B100" s="10">
        <v>-426466.11</v>
      </c>
      <c r="C100" s="10">
        <v>-2660.21</v>
      </c>
      <c r="D100" s="10">
        <v>-429126.32</v>
      </c>
    </row>
    <row r="101" spans="1:4" x14ac:dyDescent="0.25">
      <c r="A101" s="2" t="str">
        <f>"1.3.5.01.02- ( - ) Aparelhos/Equipamentos Diversos"</f>
        <v>1.3.5.01.02- ( - ) Aparelhos/Equipamentos Diversos</v>
      </c>
      <c r="B101" s="10">
        <v>-338844.84</v>
      </c>
      <c r="C101" s="10">
        <v>-3992.56</v>
      </c>
      <c r="D101" s="10">
        <v>-342837.4</v>
      </c>
    </row>
    <row r="102" spans="1:4" x14ac:dyDescent="0.25">
      <c r="A102" s="2" t="str">
        <f>"1.3.5.01.03- ( - ) Instalacoes Administrativas"</f>
        <v>1.3.5.01.03- ( - ) Instalacoes Administrativas</v>
      </c>
      <c r="B102" s="10">
        <v>-98397.55</v>
      </c>
      <c r="C102" s="10">
        <v>-103.09</v>
      </c>
      <c r="D102" s="10">
        <v>-98500.64</v>
      </c>
    </row>
    <row r="103" spans="1:4" x14ac:dyDescent="0.25">
      <c r="A103" s="2" t="str">
        <f>"1.3.5.01.05- ( - ) Impressoras e Micros"</f>
        <v>1.3.5.01.05- ( - ) Impressoras e Micros</v>
      </c>
      <c r="B103" s="10">
        <v>-2594875.91</v>
      </c>
      <c r="C103" s="10">
        <v>-7373.27</v>
      </c>
      <c r="D103" s="10">
        <v>-2602249.1800000002</v>
      </c>
    </row>
    <row r="104" spans="1:4" x14ac:dyDescent="0.25">
      <c r="A104" s="2" t="str">
        <f>"1.3.5.01.06- ( - ) Maquinas e Equipamentos"</f>
        <v>1.3.5.01.06- ( - ) Maquinas e Equipamentos</v>
      </c>
      <c r="B104" s="10">
        <v>-145934.18</v>
      </c>
      <c r="C104" s="10">
        <v>-1396.5</v>
      </c>
      <c r="D104" s="10">
        <v>-147330.68</v>
      </c>
    </row>
    <row r="105" spans="1:4" x14ac:dyDescent="0.25">
      <c r="A105" s="2" t="str">
        <f>"1.3.5.01.07- ( - ) Equipamentos de Comunicacao"</f>
        <v>1.3.5.01.07- ( - ) Equipamentos de Comunicacao</v>
      </c>
      <c r="B105" s="10">
        <v>-190762.63</v>
      </c>
      <c r="C105" s="10">
        <v>-79.099999999999994</v>
      </c>
      <c r="D105" s="10">
        <v>-190841.73</v>
      </c>
    </row>
    <row r="106" spans="1:4" x14ac:dyDescent="0.25">
      <c r="A106" s="2" t="str">
        <f>"1.3.5.01.08- ( - ) Instalacoes Operacionais"</f>
        <v>1.3.5.01.08- ( - ) Instalacoes Operacionais</v>
      </c>
      <c r="B106" s="10">
        <v>-64388.24</v>
      </c>
      <c r="C106" s="10">
        <v>-341.55</v>
      </c>
      <c r="D106" s="10">
        <v>-64729.79</v>
      </c>
    </row>
    <row r="107" spans="1:4" x14ac:dyDescent="0.25">
      <c r="A107" s="2" t="str">
        <f>"1.3.5.01.09- ( - ) Programas (Softwares)"</f>
        <v>1.3.5.01.09- ( - ) Programas (Softwares)</v>
      </c>
      <c r="B107" s="10">
        <v>-634522.89</v>
      </c>
      <c r="C107" s="10">
        <v>-624.24</v>
      </c>
      <c r="D107" s="10">
        <v>-635147.13</v>
      </c>
    </row>
    <row r="108" spans="1:4" x14ac:dyDescent="0.25">
      <c r="A108" s="2" t="str">
        <f>"1.3.5.01.14- ( - ) Ferramentas"</f>
        <v>1.3.5.01.14- ( - ) Ferramentas</v>
      </c>
      <c r="B108" s="10">
        <v>-6752.17</v>
      </c>
      <c r="C108" s="10">
        <v>-56.85</v>
      </c>
      <c r="D108" s="10">
        <v>-6809.02</v>
      </c>
    </row>
    <row r="109" spans="1:4" x14ac:dyDescent="0.25">
      <c r="A109" s="2" t="str">
        <f>"1.3.5.01.15- ( - ) Imobilizacoes em Imov. Terceiros"</f>
        <v>1.3.5.01.15- ( - ) Imobilizacoes em Imov. Terceiros</v>
      </c>
      <c r="B109" s="10">
        <v>-1060566.04</v>
      </c>
      <c r="C109" s="10">
        <v>-5591.95</v>
      </c>
      <c r="D109" s="10">
        <v>-1066157.99</v>
      </c>
    </row>
    <row r="110" spans="1:4" x14ac:dyDescent="0.25">
      <c r="A110" s="2" t="str">
        <f>""</f>
        <v/>
      </c>
      <c r="B110" s="3" t="str">
        <f>""</f>
        <v/>
      </c>
      <c r="C110" s="3" t="str">
        <f>""</f>
        <v/>
      </c>
      <c r="D110" s="3" t="str">
        <f>""</f>
        <v/>
      </c>
    </row>
    <row r="111" spans="1:4" x14ac:dyDescent="0.25">
      <c r="A111" s="2" t="str">
        <f>"PASSIVO"</f>
        <v>PASSIVO</v>
      </c>
      <c r="B111" s="3" t="str">
        <f>""</f>
        <v/>
      </c>
      <c r="C111" s="3" t="str">
        <f>""</f>
        <v/>
      </c>
      <c r="D111" s="3" t="str">
        <f>""</f>
        <v/>
      </c>
    </row>
    <row r="112" spans="1:4" x14ac:dyDescent="0.25">
      <c r="A112" s="2" t="str">
        <f>"2.0.0.00.00- PASSIVO"</f>
        <v>2.0.0.00.00- PASSIVO</v>
      </c>
      <c r="B112" s="10">
        <v>33528834.079999998</v>
      </c>
      <c r="C112" s="10">
        <v>2647660.83</v>
      </c>
      <c r="D112" s="10">
        <v>36176494.909999996</v>
      </c>
    </row>
    <row r="113" spans="1:4" x14ac:dyDescent="0.25">
      <c r="A113" s="2" t="str">
        <f>"2.1.0.00.00- PASSIVO CIRCULANTE"</f>
        <v>2.1.0.00.00- PASSIVO CIRCULANTE</v>
      </c>
      <c r="B113" s="10">
        <v>56969164.939999998</v>
      </c>
      <c r="C113" s="10">
        <v>2991473.23</v>
      </c>
      <c r="D113" s="10">
        <v>59960638.170000002</v>
      </c>
    </row>
    <row r="114" spans="1:4" x14ac:dyDescent="0.25">
      <c r="A114" s="2" t="str">
        <f>"2.1.1.00.00- OBRIGACOES COM PESSOAL"</f>
        <v>2.1.1.00.00- OBRIGACOES COM PESSOAL</v>
      </c>
      <c r="B114" s="10">
        <v>10786824.970000001</v>
      </c>
      <c r="C114" s="10">
        <v>522089.32</v>
      </c>
      <c r="D114" s="10">
        <v>11308914.289999999</v>
      </c>
    </row>
    <row r="115" spans="1:4" x14ac:dyDescent="0.25">
      <c r="A115" s="2" t="str">
        <f>"2.1.1.01.00- SALARIOS A PAGAR"</f>
        <v>2.1.1.01.00- SALARIOS A PAGAR</v>
      </c>
      <c r="B115" s="10">
        <v>10786824.970000001</v>
      </c>
      <c r="C115" s="10">
        <v>522089.32</v>
      </c>
      <c r="D115" s="10">
        <v>11308914.289999999</v>
      </c>
    </row>
    <row r="116" spans="1:4" x14ac:dyDescent="0.25">
      <c r="A116" s="2" t="str">
        <f>"2.1.1.01.01- Salarios a Pagar"</f>
        <v>2.1.1.01.01- Salarios a Pagar</v>
      </c>
      <c r="B116" s="10">
        <v>3455730.35</v>
      </c>
      <c r="C116" s="10">
        <v>55690.92</v>
      </c>
      <c r="D116" s="10">
        <v>3511421.27</v>
      </c>
    </row>
    <row r="117" spans="1:4" x14ac:dyDescent="0.25">
      <c r="A117" s="2" t="str">
        <f>"2.1.1.01.02- Provisão 13º Salário"</f>
        <v>2.1.1.01.02- Provisão 13º Salário</v>
      </c>
      <c r="B117" s="10">
        <v>1533961.2</v>
      </c>
      <c r="C117" s="10">
        <v>369836.37</v>
      </c>
      <c r="D117" s="10">
        <v>1903797.57</v>
      </c>
    </row>
    <row r="118" spans="1:4" x14ac:dyDescent="0.25">
      <c r="A118" s="2" t="str">
        <f>"2.1.1.01.03- Ferias a pagar"</f>
        <v>2.1.1.01.03- Ferias a pagar</v>
      </c>
      <c r="B118" s="10">
        <v>65634.42</v>
      </c>
      <c r="C118" s="10">
        <v>-59229.34</v>
      </c>
      <c r="D118" s="10">
        <v>6405.08</v>
      </c>
    </row>
    <row r="119" spans="1:4" x14ac:dyDescent="0.25">
      <c r="A119" s="2" t="str">
        <f>"2.1.1.01.05- Rescisoes a Pagar"</f>
        <v>2.1.1.01.05- Rescisoes a Pagar</v>
      </c>
      <c r="B119" s="10">
        <v>21830.95</v>
      </c>
      <c r="C119" s="10">
        <v>-702.7</v>
      </c>
      <c r="D119" s="10">
        <v>21128.25</v>
      </c>
    </row>
    <row r="120" spans="1:4" x14ac:dyDescent="0.25">
      <c r="A120" s="2" t="str">
        <f>"2.1.1.01.09- Provisao de Ferias"</f>
        <v>2.1.1.01.09- Provisao de Ferias</v>
      </c>
      <c r="B120" s="10">
        <v>5702332.7599999998</v>
      </c>
      <c r="C120" s="10">
        <v>156494.07</v>
      </c>
      <c r="D120" s="10">
        <v>5858826.8300000001</v>
      </c>
    </row>
    <row r="121" spans="1:4" x14ac:dyDescent="0.25">
      <c r="A121" s="2" t="str">
        <f>"2.1.1.01.10- Diferencas Salariais"</f>
        <v>2.1.1.01.10- Diferencas Salariais</v>
      </c>
      <c r="B121" s="10">
        <v>7335.29</v>
      </c>
      <c r="C121" s="10">
        <v>0</v>
      </c>
      <c r="D121" s="10">
        <v>7335.29</v>
      </c>
    </row>
    <row r="122" spans="1:4" x14ac:dyDescent="0.25">
      <c r="A122" s="2" t="str">
        <f>"2.1.2.00.00- OBRIGACOES SOCIAIS A CURTO PRAZO"</f>
        <v>2.1.2.00.00- OBRIGACOES SOCIAIS A CURTO PRAZO</v>
      </c>
      <c r="B122" s="10">
        <v>5421818.8499999996</v>
      </c>
      <c r="C122" s="10">
        <v>243014.23</v>
      </c>
      <c r="D122" s="10">
        <v>5664833.0800000001</v>
      </c>
    </row>
    <row r="123" spans="1:4" x14ac:dyDescent="0.25">
      <c r="A123" s="2" t="str">
        <f>"2.1.2.01.00- OBRIGACOES SOCIAIS A RECOLHER"</f>
        <v>2.1.2.01.00- OBRIGACOES SOCIAIS A RECOLHER</v>
      </c>
      <c r="B123" s="10">
        <v>5421818.8499999996</v>
      </c>
      <c r="C123" s="10">
        <v>243014.23</v>
      </c>
      <c r="D123" s="10">
        <v>5664833.0800000001</v>
      </c>
    </row>
    <row r="124" spans="1:4" x14ac:dyDescent="0.25">
      <c r="A124" s="2" t="str">
        <f>"2.1.2.01.01- INSS a recolher s/Folha Pagto"</f>
        <v>2.1.2.01.01- INSS a recolher s/Folha Pagto</v>
      </c>
      <c r="B124" s="10">
        <v>1806402.64</v>
      </c>
      <c r="C124" s="10">
        <v>50094.62</v>
      </c>
      <c r="D124" s="10">
        <v>1856497.26</v>
      </c>
    </row>
    <row r="125" spans="1:4" x14ac:dyDescent="0.25">
      <c r="A125" s="2" t="str">
        <f>"2.1.2.01.02- FGTS a recolher s/Folha Pagto"</f>
        <v>2.1.2.01.02- FGTS a recolher s/Folha Pagto</v>
      </c>
      <c r="B125" s="10">
        <v>407107.99</v>
      </c>
      <c r="C125" s="10">
        <v>6124.59</v>
      </c>
      <c r="D125" s="10">
        <v>413232.58</v>
      </c>
    </row>
    <row r="126" spans="1:4" x14ac:dyDescent="0.25">
      <c r="A126" s="2" t="str">
        <f>"2.1.2.01.05- Contribuicao Sindical"</f>
        <v>2.1.2.01.05- Contribuicao Sindical</v>
      </c>
      <c r="B126" s="10">
        <v>5996.6</v>
      </c>
      <c r="C126" s="10">
        <v>424.52</v>
      </c>
      <c r="D126" s="10">
        <v>6421.12</v>
      </c>
    </row>
    <row r="127" spans="1:4" x14ac:dyDescent="0.25">
      <c r="A127" s="2" t="str">
        <f>"2.1.2.01.06- INSS s/Provisao de Ferias"</f>
        <v>2.1.2.01.06- INSS s/Provisao de Ferias</v>
      </c>
      <c r="B127" s="10">
        <v>1655598.58</v>
      </c>
      <c r="C127" s="10">
        <v>45644.02</v>
      </c>
      <c r="D127" s="10">
        <v>1701242.6</v>
      </c>
    </row>
    <row r="128" spans="1:4" x14ac:dyDescent="0.25">
      <c r="A128" s="2" t="str">
        <f>"2.1.2.01.07- AEB - Assoc. Empreg. BHTRANS"</f>
        <v>2.1.2.01.07- AEB - Assoc. Empreg. BHTRANS</v>
      </c>
      <c r="B128" s="10">
        <v>5272.64</v>
      </c>
      <c r="C128" s="10">
        <v>-166.72</v>
      </c>
      <c r="D128" s="10">
        <v>5105.92</v>
      </c>
    </row>
    <row r="129" spans="1:4" x14ac:dyDescent="0.25">
      <c r="A129" s="2" t="str">
        <f>"2.1.2.01.10- INSS s/Provisao de 13.Salario"</f>
        <v>2.1.2.01.10- INSS s/Provisao de 13.Salario</v>
      </c>
      <c r="B129" s="10">
        <v>445476.53</v>
      </c>
      <c r="C129" s="10">
        <v>107983.5</v>
      </c>
      <c r="D129" s="10">
        <v>553460.03</v>
      </c>
    </row>
    <row r="130" spans="1:4" x14ac:dyDescent="0.25">
      <c r="A130" s="2" t="str">
        <f>"2.1.2.01.11- FGTS s/Provisao de 13.Salario"</f>
        <v>2.1.2.01.11- FGTS s/Provisao de 13.Salario</v>
      </c>
      <c r="B130" s="10">
        <v>85614.45</v>
      </c>
      <c r="C130" s="10">
        <v>15999.51</v>
      </c>
      <c r="D130" s="10">
        <v>101613.96</v>
      </c>
    </row>
    <row r="131" spans="1:4" x14ac:dyDescent="0.25">
      <c r="A131" s="2" t="str">
        <f>"2.1.2.01.12- FGTS s/Provisao de Ferias"</f>
        <v>2.1.2.01.12- FGTS s/Provisao de Ferias</v>
      </c>
      <c r="B131" s="10">
        <v>456166.69</v>
      </c>
      <c r="C131" s="10">
        <v>12323.77</v>
      </c>
      <c r="D131" s="10">
        <v>468490.46</v>
      </c>
    </row>
    <row r="132" spans="1:4" x14ac:dyDescent="0.25">
      <c r="A132" s="2" t="str">
        <f>"2.1.2.01.13- Contribuicao ao PAMEH"</f>
        <v>2.1.2.01.13- Contribuicao ao PAMEH</v>
      </c>
      <c r="B132" s="10">
        <v>366058.5</v>
      </c>
      <c r="C132" s="10">
        <v>-1353.29</v>
      </c>
      <c r="D132" s="10">
        <v>364705.21</v>
      </c>
    </row>
    <row r="133" spans="1:4" x14ac:dyDescent="0.25">
      <c r="A133" s="2" t="str">
        <f>"2.1.2.01.15- Crediserv-BH"</f>
        <v>2.1.2.01.15- Crediserv-BH</v>
      </c>
      <c r="B133" s="10">
        <v>17922.240000000002</v>
      </c>
      <c r="C133" s="10">
        <v>-1722.5</v>
      </c>
      <c r="D133" s="10">
        <v>16199.74</v>
      </c>
    </row>
    <row r="134" spans="1:4" x14ac:dyDescent="0.25">
      <c r="A134" s="2" t="str">
        <f>"2.1.2.01.16- INSS Fonte a Recolher - PJ"</f>
        <v>2.1.2.01.16- INSS Fonte a Recolher - PJ</v>
      </c>
      <c r="B134" s="10">
        <v>168637.77</v>
      </c>
      <c r="C134" s="10">
        <v>7639.2</v>
      </c>
      <c r="D134" s="10">
        <v>176276.97</v>
      </c>
    </row>
    <row r="135" spans="1:4" x14ac:dyDescent="0.25">
      <c r="A135" s="2" t="str">
        <f>"2.1.2.01.18- INSS Fonte a Recolher - P F"</f>
        <v>2.1.2.01.18- INSS Fonte a Recolher - P F</v>
      </c>
      <c r="B135" s="10">
        <v>1014.22</v>
      </c>
      <c r="C135" s="10">
        <v>33.01</v>
      </c>
      <c r="D135" s="10">
        <v>1047.23</v>
      </c>
    </row>
    <row r="136" spans="1:4" x14ac:dyDescent="0.25">
      <c r="A136" s="2" t="str">
        <f>"2.1.2.01.19- ASFIM - PBH"</f>
        <v>2.1.2.01.19- ASFIM - PBH</v>
      </c>
      <c r="B136" s="10">
        <v>550</v>
      </c>
      <c r="C136" s="10">
        <v>-10</v>
      </c>
      <c r="D136" s="10">
        <v>540</v>
      </c>
    </row>
    <row r="137" spans="1:4" x14ac:dyDescent="0.25">
      <c r="A137" s="2" t="str">
        <f>"2.1.3.00.00- OBRIGACOES FISCAIS A CURTO PRAZO"</f>
        <v>2.1.3.00.00- OBRIGACOES FISCAIS A CURTO PRAZO</v>
      </c>
      <c r="B137" s="10">
        <v>1443972.17</v>
      </c>
      <c r="C137" s="10">
        <v>-18368.07</v>
      </c>
      <c r="D137" s="10">
        <v>1425604.1</v>
      </c>
    </row>
    <row r="138" spans="1:4" x14ac:dyDescent="0.25">
      <c r="A138" s="2" t="str">
        <f>"2.1.3.01.00- IMPOSTOS E TAXAS A RECOLHER"</f>
        <v>2.1.3.01.00- IMPOSTOS E TAXAS A RECOLHER</v>
      </c>
      <c r="B138" s="10">
        <v>1443972.17</v>
      </c>
      <c r="C138" s="10">
        <v>-18368.07</v>
      </c>
      <c r="D138" s="10">
        <v>1425604.1</v>
      </c>
    </row>
    <row r="139" spans="1:4" x14ac:dyDescent="0.25">
      <c r="A139" s="2" t="str">
        <f>"2.1.3.01.01- IRRF Fonte Folha Pagto"</f>
        <v>2.1.3.01.01- IRRF Fonte Folha Pagto</v>
      </c>
      <c r="B139" s="10">
        <v>541052.41</v>
      </c>
      <c r="C139" s="10">
        <v>-105483.91</v>
      </c>
      <c r="D139" s="10">
        <v>435568.5</v>
      </c>
    </row>
    <row r="140" spans="1:4" x14ac:dyDescent="0.25">
      <c r="A140" s="2" t="str">
        <f>"2.1.3.01.03- IRRF Fonte - Pessoa  Juridica e Física"</f>
        <v>2.1.3.01.03- IRRF Fonte - Pessoa  Juridica e Física</v>
      </c>
      <c r="B140" s="10">
        <v>17631.990000000002</v>
      </c>
      <c r="C140" s="10">
        <v>213.15</v>
      </c>
      <c r="D140" s="10">
        <v>17845.14</v>
      </c>
    </row>
    <row r="141" spans="1:4" x14ac:dyDescent="0.25">
      <c r="A141" s="2" t="str">
        <f>"2.1.3.01.04- ISS Retido Fonte PF"</f>
        <v>2.1.3.01.04- ISS Retido Fonte PF</v>
      </c>
      <c r="B141" s="10">
        <v>92.5</v>
      </c>
      <c r="C141" s="10">
        <v>-92.5</v>
      </c>
      <c r="D141" s="10">
        <v>0</v>
      </c>
    </row>
    <row r="142" spans="1:4" x14ac:dyDescent="0.25">
      <c r="A142" s="2" t="str">
        <f>"2.1.3.01.05- ISS S/ Faturamento"</f>
        <v>2.1.3.01.05- ISS S/ Faturamento</v>
      </c>
      <c r="B142" s="10">
        <v>1683.22</v>
      </c>
      <c r="C142" s="10">
        <v>375.72</v>
      </c>
      <c r="D142" s="10">
        <v>2058.94</v>
      </c>
    </row>
    <row r="143" spans="1:4" x14ac:dyDescent="0.25">
      <c r="A143" s="2" t="str">
        <f>"2.1.3.01.07- COFINS a Recolher"</f>
        <v>2.1.3.01.07- COFINS a Recolher</v>
      </c>
      <c r="B143" s="10">
        <v>645351.6</v>
      </c>
      <c r="C143" s="10">
        <v>70212.639999999999</v>
      </c>
      <c r="D143" s="10">
        <v>715564.24</v>
      </c>
    </row>
    <row r="144" spans="1:4" x14ac:dyDescent="0.25">
      <c r="A144" s="2" t="str">
        <f>"2.1.3.01.08- PIS a Recolher"</f>
        <v>2.1.3.01.08- PIS a Recolher</v>
      </c>
      <c r="B144" s="10">
        <v>139947.51999999999</v>
      </c>
      <c r="C144" s="10">
        <v>15210.33</v>
      </c>
      <c r="D144" s="10">
        <v>155157.85</v>
      </c>
    </row>
    <row r="145" spans="1:4" x14ac:dyDescent="0.25">
      <c r="A145" s="2" t="str">
        <f>"2.1.3.01.09- ISS Fonte a Recolher P.Juridica"</f>
        <v>2.1.3.01.09- ISS Fonte a Recolher P.Juridica</v>
      </c>
      <c r="B145" s="10">
        <v>7449.41</v>
      </c>
      <c r="C145" s="10">
        <v>-1713.64</v>
      </c>
      <c r="D145" s="10">
        <v>5735.77</v>
      </c>
    </row>
    <row r="146" spans="1:4" x14ac:dyDescent="0.25">
      <c r="A146" s="2" t="str">
        <f>"2.1.3.01.12- CSLL-COFINS-PIS - FONTE"</f>
        <v>2.1.3.01.12- CSLL-COFINS-PIS - FONTE</v>
      </c>
      <c r="B146" s="10">
        <v>90763.520000000004</v>
      </c>
      <c r="C146" s="10">
        <v>2910.14</v>
      </c>
      <c r="D146" s="10">
        <v>93673.66</v>
      </c>
    </row>
    <row r="147" spans="1:4" x14ac:dyDescent="0.25">
      <c r="A147" s="2" t="str">
        <f>"2.1.4.00.00- OUTRAS OBRIGACOES A CURTO PRAZO"</f>
        <v>2.1.4.00.00- OUTRAS OBRIGACOES A CURTO PRAZO</v>
      </c>
      <c r="B147" s="10">
        <v>28232256.370000001</v>
      </c>
      <c r="C147" s="10">
        <v>2230626.5</v>
      </c>
      <c r="D147" s="10">
        <v>30462882.870000001</v>
      </c>
    </row>
    <row r="148" spans="1:4" x14ac:dyDescent="0.25">
      <c r="A148" s="2" t="str">
        <f>"2.1.4.01.00- FORNECEDORES"</f>
        <v>2.1.4.01.00- FORNECEDORES</v>
      </c>
      <c r="B148" s="10">
        <v>2902485.02</v>
      </c>
      <c r="C148" s="10">
        <v>-444230.16</v>
      </c>
      <c r="D148" s="10">
        <v>2458254.86</v>
      </c>
    </row>
    <row r="149" spans="1:4" x14ac:dyDescent="0.25">
      <c r="A149" s="2" t="str">
        <f>"2.1.4.01.99- Fornecedores"</f>
        <v>2.1.4.01.99- Fornecedores</v>
      </c>
      <c r="B149" s="10">
        <v>2902485.02</v>
      </c>
      <c r="C149" s="10">
        <v>-444230.16</v>
      </c>
      <c r="D149" s="10">
        <v>2458254.86</v>
      </c>
    </row>
    <row r="150" spans="1:4" x14ac:dyDescent="0.25">
      <c r="A150" s="2" t="str">
        <f>"2.1.4.02.00- CONTAS A PAGAR"</f>
        <v>2.1.4.02.00- CONTAS A PAGAR</v>
      </c>
      <c r="B150" s="10">
        <v>294455.84000000003</v>
      </c>
      <c r="C150" s="10">
        <v>-14109.18</v>
      </c>
      <c r="D150" s="10">
        <v>280346.65999999997</v>
      </c>
    </row>
    <row r="151" spans="1:4" x14ac:dyDescent="0.25">
      <c r="A151" s="2" t="str">
        <f>"2.1.4.02.01- Emprestimo Consignado - Bradesco"</f>
        <v>2.1.4.02.01- Emprestimo Consignado - Bradesco</v>
      </c>
      <c r="B151" s="10">
        <v>46210.23</v>
      </c>
      <c r="C151" s="10">
        <v>9820.99</v>
      </c>
      <c r="D151" s="10">
        <v>56031.22</v>
      </c>
    </row>
    <row r="152" spans="1:4" x14ac:dyDescent="0.25">
      <c r="A152" s="2" t="str">
        <f>"2.1.4.02.03- Emprestimo Consignado - CEF"</f>
        <v>2.1.4.02.03- Emprestimo Consignado - CEF</v>
      </c>
      <c r="B152" s="10">
        <v>39536.769999999997</v>
      </c>
      <c r="C152" s="10">
        <v>-1369.27</v>
      </c>
      <c r="D152" s="10">
        <v>38167.5</v>
      </c>
    </row>
    <row r="153" spans="1:4" x14ac:dyDescent="0.25">
      <c r="A153" s="2" t="str">
        <f>"2.1.4.02.04- Emprestimo Consignado - B.Brasil"</f>
        <v>2.1.4.02.04- Emprestimo Consignado - B.Brasil</v>
      </c>
      <c r="B153" s="10">
        <v>75217.86</v>
      </c>
      <c r="C153" s="10">
        <v>-3090.63</v>
      </c>
      <c r="D153" s="10">
        <v>72127.23</v>
      </c>
    </row>
    <row r="154" spans="1:4" x14ac:dyDescent="0.25">
      <c r="A154" s="2" t="str">
        <f>"2.1.4.02.05- Emprestimo Consignado-Banco Alfa"</f>
        <v>2.1.4.02.05- Emprestimo Consignado-Banco Alfa</v>
      </c>
      <c r="B154" s="10">
        <v>72132.91</v>
      </c>
      <c r="C154" s="10">
        <v>1388.44</v>
      </c>
      <c r="D154" s="10">
        <v>73521.350000000006</v>
      </c>
    </row>
    <row r="155" spans="1:4" x14ac:dyDescent="0.25">
      <c r="A155" s="2" t="str">
        <f>"2.1.4.02.07- Emprestimo Consignado - B. Safra"</f>
        <v>2.1.4.02.07- Emprestimo Consignado - B. Safra</v>
      </c>
      <c r="B155" s="10">
        <v>21739.43</v>
      </c>
      <c r="C155" s="10">
        <v>-3083.45</v>
      </c>
      <c r="D155" s="10">
        <v>18655.98</v>
      </c>
    </row>
    <row r="156" spans="1:4" x14ac:dyDescent="0.25">
      <c r="A156" s="2" t="str">
        <f>"2.1.4.02.08- Emprestimo Consignado - BMG"</f>
        <v>2.1.4.02.08- Emprestimo Consignado - BMG</v>
      </c>
      <c r="B156" s="10">
        <v>1048.25</v>
      </c>
      <c r="C156" s="10">
        <v>0</v>
      </c>
      <c r="D156" s="10">
        <v>1048.25</v>
      </c>
    </row>
    <row r="157" spans="1:4" x14ac:dyDescent="0.25">
      <c r="A157" s="2" t="str">
        <f>"2.1.4.02.09- Emprestimo Consignado - BMC"</f>
        <v>2.1.4.02.09- Emprestimo Consignado - BMC</v>
      </c>
      <c r="B157" s="10">
        <v>692.55</v>
      </c>
      <c r="C157" s="10">
        <v>307.8</v>
      </c>
      <c r="D157" s="10">
        <v>1000.35</v>
      </c>
    </row>
    <row r="158" spans="1:4" x14ac:dyDescent="0.25">
      <c r="A158" s="2" t="str">
        <f>"2.1.4.02.10- Cartão - BMG Card"</f>
        <v>2.1.4.02.10- Cartão - BMG Card</v>
      </c>
      <c r="B158" s="10">
        <v>8150.59</v>
      </c>
      <c r="C158" s="10">
        <v>-16.010000000000002</v>
      </c>
      <c r="D158" s="10">
        <v>8134.58</v>
      </c>
    </row>
    <row r="159" spans="1:4" x14ac:dyDescent="0.25">
      <c r="A159" s="2" t="str">
        <f>"2.1.4.02.11- Contrib.Entid.Classe"</f>
        <v>2.1.4.02.11- Contrib.Entid.Classe</v>
      </c>
      <c r="B159" s="10">
        <v>0</v>
      </c>
      <c r="C159" s="10">
        <v>81.53</v>
      </c>
      <c r="D159" s="10">
        <v>81.53</v>
      </c>
    </row>
    <row r="160" spans="1:4" x14ac:dyDescent="0.25">
      <c r="A160" s="2" t="str">
        <f>"2.1.4.02.99- Contas a Pagar"</f>
        <v>2.1.4.02.99- Contas a Pagar</v>
      </c>
      <c r="B160" s="10">
        <v>29727.25</v>
      </c>
      <c r="C160" s="10">
        <v>-18148.580000000002</v>
      </c>
      <c r="D160" s="10">
        <v>11578.67</v>
      </c>
    </row>
    <row r="161" spans="1:4" x14ac:dyDescent="0.25">
      <c r="A161" s="2" t="str">
        <f>"2.1.4.03.00- CREDORES DIVERSOS"</f>
        <v>2.1.4.03.00- CREDORES DIVERSOS</v>
      </c>
      <c r="B161" s="10">
        <v>24478837.629999999</v>
      </c>
      <c r="C161" s="10">
        <v>2688965.84</v>
      </c>
      <c r="D161" s="10">
        <v>27167803.469999999</v>
      </c>
    </row>
    <row r="162" spans="1:4" x14ac:dyDescent="0.25">
      <c r="A162" s="2" t="str">
        <f>"2.1.4.03.07- Adiantamento Acionista - Municipio BH"</f>
        <v>2.1.4.03.07- Adiantamento Acionista - Municipio BH</v>
      </c>
      <c r="B162" s="10">
        <v>23671817.77</v>
      </c>
      <c r="C162" s="10">
        <v>2647800.58</v>
      </c>
      <c r="D162" s="10">
        <v>26319618.350000001</v>
      </c>
    </row>
    <row r="163" spans="1:4" x14ac:dyDescent="0.25">
      <c r="A163" s="2" t="str">
        <f>"2.1.4.03.17- Adiantamento de Clientes"</f>
        <v>2.1.4.03.17- Adiantamento de Clientes</v>
      </c>
      <c r="B163" s="10">
        <v>807019.86</v>
      </c>
      <c r="C163" s="10">
        <v>41165.26</v>
      </c>
      <c r="D163" s="10">
        <v>848185.12</v>
      </c>
    </row>
    <row r="164" spans="1:4" x14ac:dyDescent="0.25">
      <c r="A164" s="2" t="str">
        <f>"2.1.4.04.00- CAUCAO DE TERCEIROS/LEILAO"</f>
        <v>2.1.4.04.00- CAUCAO DE TERCEIROS/LEILAO</v>
      </c>
      <c r="B164" s="10">
        <v>556477.88</v>
      </c>
      <c r="C164" s="10">
        <v>0</v>
      </c>
      <c r="D164" s="10">
        <v>556477.88</v>
      </c>
    </row>
    <row r="165" spans="1:4" x14ac:dyDescent="0.25">
      <c r="A165" s="2" t="str">
        <f>"2.1.4.04.98- Leilões"</f>
        <v>2.1.4.04.98- Leilões</v>
      </c>
      <c r="B165" s="10">
        <v>373057.34</v>
      </c>
      <c r="C165" s="10">
        <v>0</v>
      </c>
      <c r="D165" s="10">
        <v>373057.34</v>
      </c>
    </row>
    <row r="166" spans="1:4" x14ac:dyDescent="0.25">
      <c r="A166" s="2" t="str">
        <f>"2.1.4.04.99- Caucao de Terceiros"</f>
        <v>2.1.4.04.99- Caucao de Terceiros</v>
      </c>
      <c r="B166" s="10">
        <v>183420.54</v>
      </c>
      <c r="C166" s="10">
        <v>0</v>
      </c>
      <c r="D166" s="10">
        <v>183420.54</v>
      </c>
    </row>
    <row r="167" spans="1:4" x14ac:dyDescent="0.25">
      <c r="A167" s="2" t="str">
        <f>"2.1.6.00.00- OBRIGACOES VINC. A PAGAR-PAMEH"</f>
        <v>2.1.6.00.00- OBRIGACOES VINC. A PAGAR-PAMEH</v>
      </c>
      <c r="B167" s="10">
        <v>48639.07</v>
      </c>
      <c r="C167" s="10">
        <v>14111.25</v>
      </c>
      <c r="D167" s="10">
        <v>62750.32</v>
      </c>
    </row>
    <row r="168" spans="1:4" x14ac:dyDescent="0.25">
      <c r="A168" s="2" t="str">
        <f>"2.1.6.01.00- OBRIGACOES VINC. -PAMEH"</f>
        <v>2.1.6.01.00- OBRIGACOES VINC. -PAMEH</v>
      </c>
      <c r="B168" s="10">
        <v>48639.07</v>
      </c>
      <c r="C168" s="10">
        <v>14111.25</v>
      </c>
      <c r="D168" s="10">
        <v>62750.32</v>
      </c>
    </row>
    <row r="169" spans="1:4" x14ac:dyDescent="0.25">
      <c r="A169" s="2" t="str">
        <f>"2.1.6.01.01- Obrigacoes Vinculadas - PAMEH"</f>
        <v>2.1.6.01.01- Obrigacoes Vinculadas - PAMEH</v>
      </c>
      <c r="B169" s="10">
        <v>48639.07</v>
      </c>
      <c r="C169" s="10">
        <v>14111.25</v>
      </c>
      <c r="D169" s="10">
        <v>62750.32</v>
      </c>
    </row>
    <row r="170" spans="1:4" x14ac:dyDescent="0.25">
      <c r="A170" s="2" t="str">
        <f>"2.1.8.00.00- CONTINGÊNCIAS TRABALHISTAS"</f>
        <v>2.1.8.00.00- CONTINGÊNCIAS TRABALHISTAS</v>
      </c>
      <c r="B170" s="10">
        <v>11035653.51</v>
      </c>
      <c r="C170" s="10">
        <v>0</v>
      </c>
      <c r="D170" s="10">
        <v>11035653.51</v>
      </c>
    </row>
    <row r="171" spans="1:4" x14ac:dyDescent="0.25">
      <c r="A171" s="2" t="str">
        <f>"2.1.8.01.00- CONTINGÊNCIAS TRABALHISTAS"</f>
        <v>2.1.8.01.00- CONTINGÊNCIAS TRABALHISTAS</v>
      </c>
      <c r="B171" s="10">
        <v>11035653.51</v>
      </c>
      <c r="C171" s="10">
        <v>0</v>
      </c>
      <c r="D171" s="10">
        <v>11035653.51</v>
      </c>
    </row>
    <row r="172" spans="1:4" x14ac:dyDescent="0.25">
      <c r="A172" s="2" t="str">
        <f>"2.1.8.01.01- Contingências Trabalhistas - ACT"</f>
        <v>2.1.8.01.01- Contingências Trabalhistas - ACT</v>
      </c>
      <c r="B172" s="10">
        <v>11035653.51</v>
      </c>
      <c r="C172" s="10">
        <v>0</v>
      </c>
      <c r="D172" s="10">
        <v>11035653.51</v>
      </c>
    </row>
    <row r="173" spans="1:4" x14ac:dyDescent="0.25">
      <c r="A173" s="2" t="str">
        <f>"2.2.0.00.00- PASSIVO NAO CIRCULANTE"</f>
        <v>2.2.0.00.00- PASSIVO NAO CIRCULANTE</v>
      </c>
      <c r="B173" s="10">
        <v>40471673.700000003</v>
      </c>
      <c r="C173" s="10">
        <v>-286578.18</v>
      </c>
      <c r="D173" s="10">
        <v>40185095.520000003</v>
      </c>
    </row>
    <row r="174" spans="1:4" x14ac:dyDescent="0.25">
      <c r="A174" s="2" t="str">
        <f>"2.2.4.00.00- OUTRAS OBRIGACOES A LONGO PRAZO"</f>
        <v>2.2.4.00.00- OUTRAS OBRIGACOES A LONGO PRAZO</v>
      </c>
      <c r="B174" s="10">
        <v>35783787.479999997</v>
      </c>
      <c r="C174" s="10">
        <v>-87572.97</v>
      </c>
      <c r="D174" s="10">
        <v>35696214.509999998</v>
      </c>
    </row>
    <row r="175" spans="1:4" x14ac:dyDescent="0.25">
      <c r="A175" s="2" t="str">
        <f>"2.2.4.01.00- CREDORES DIVERSOS"</f>
        <v>2.2.4.01.00- CREDORES DIVERSOS</v>
      </c>
      <c r="B175" s="10">
        <v>15048557.66</v>
      </c>
      <c r="C175" s="10">
        <v>0</v>
      </c>
      <c r="D175" s="10">
        <v>15048557.66</v>
      </c>
    </row>
    <row r="176" spans="1:4" x14ac:dyDescent="0.25">
      <c r="A176" s="2" t="str">
        <f>"2.2.4.01.04- Provisão para Contingências Fiscais"</f>
        <v>2.2.4.01.04- Provisão para Contingências Fiscais</v>
      </c>
      <c r="B176" s="10">
        <v>14106702.720000001</v>
      </c>
      <c r="C176" s="10">
        <v>0</v>
      </c>
      <c r="D176" s="10">
        <v>14106702.720000001</v>
      </c>
    </row>
    <row r="177" spans="1:4" x14ac:dyDescent="0.25">
      <c r="A177" s="2" t="str">
        <f>"2.2.4.01.05- INSS Segurados"</f>
        <v>2.2.4.01.05- INSS Segurados</v>
      </c>
      <c r="B177" s="10">
        <v>941854.94</v>
      </c>
      <c r="C177" s="10">
        <v>0</v>
      </c>
      <c r="D177" s="10">
        <v>941854.94</v>
      </c>
    </row>
    <row r="178" spans="1:4" x14ac:dyDescent="0.25">
      <c r="A178" s="2" t="str">
        <f>"2.2.4.04.00- ACOES JUDICIAIS E TRABALHISTAS"</f>
        <v>2.2.4.04.00- ACOES JUDICIAIS E TRABALHISTAS</v>
      </c>
      <c r="B178" s="10">
        <v>20735229.82</v>
      </c>
      <c r="C178" s="10">
        <v>-87572.97</v>
      </c>
      <c r="D178" s="10">
        <v>20647656.850000001</v>
      </c>
    </row>
    <row r="179" spans="1:4" x14ac:dyDescent="0.25">
      <c r="A179" s="2" t="str">
        <f>"2.2.4.04.01- Acoes judiciais"</f>
        <v>2.2.4.04.01- Acoes judiciais</v>
      </c>
      <c r="B179" s="10">
        <v>16358367.48</v>
      </c>
      <c r="C179" s="10">
        <v>13</v>
      </c>
      <c r="D179" s="10">
        <v>16358380.48</v>
      </c>
    </row>
    <row r="180" spans="1:4" x14ac:dyDescent="0.25">
      <c r="A180" s="2" t="str">
        <f>"2.2.4.04.02- Acoes trabalhistas"</f>
        <v>2.2.4.04.02- Acoes trabalhistas</v>
      </c>
      <c r="B180" s="10">
        <v>4376862.34</v>
      </c>
      <c r="C180" s="10">
        <v>-87585.97</v>
      </c>
      <c r="D180" s="10">
        <v>4289276.37</v>
      </c>
    </row>
    <row r="181" spans="1:4" x14ac:dyDescent="0.25">
      <c r="A181" s="2" t="str">
        <f>"2.2.5.00.00- OBRIGACOES VINC.  AO PAMEH"</f>
        <v>2.2.5.00.00- OBRIGACOES VINC.  AO PAMEH</v>
      </c>
      <c r="B181" s="10">
        <v>4687886.22</v>
      </c>
      <c r="C181" s="10">
        <v>-199005.21</v>
      </c>
      <c r="D181" s="10">
        <v>4488881.01</v>
      </c>
    </row>
    <row r="182" spans="1:4" x14ac:dyDescent="0.25">
      <c r="A182" s="2" t="str">
        <f>"2.2.5.01.00- OBRIGACOES VINC.  AO PAMEH"</f>
        <v>2.2.5.01.00- OBRIGACOES VINC.  AO PAMEH</v>
      </c>
      <c r="B182" s="10">
        <v>4687886.22</v>
      </c>
      <c r="C182" s="10">
        <v>-199005.21</v>
      </c>
      <c r="D182" s="10">
        <v>4488881.01</v>
      </c>
    </row>
    <row r="183" spans="1:4" x14ac:dyDescent="0.25">
      <c r="A183" s="2" t="str">
        <f>"2.2.5.01.01- Resultado Exerc.Anteriores-PAMEH"</f>
        <v>2.2.5.01.01- Resultado Exerc.Anteriores-PAMEH</v>
      </c>
      <c r="B183" s="10">
        <v>3457128.18</v>
      </c>
      <c r="C183" s="10">
        <v>0</v>
      </c>
      <c r="D183" s="10">
        <v>3457128.18</v>
      </c>
    </row>
    <row r="184" spans="1:4" x14ac:dyDescent="0.25">
      <c r="A184" s="2" t="str">
        <f>"2.2.5.01.02- Resultado deste Exercicio-PAMEH"</f>
        <v>2.2.5.01.02- Resultado deste Exercicio-PAMEH</v>
      </c>
      <c r="B184" s="10">
        <v>-359183.73</v>
      </c>
      <c r="C184" s="10">
        <v>-199005.21</v>
      </c>
      <c r="D184" s="10">
        <v>-558188.93999999994</v>
      </c>
    </row>
    <row r="185" spans="1:4" x14ac:dyDescent="0.25">
      <c r="A185" s="2" t="str">
        <f>"2.2.5.01.03- Ajuste Exercício Anterior - PAMEH"</f>
        <v>2.2.5.01.03- Ajuste Exercício Anterior - PAMEH</v>
      </c>
      <c r="B185" s="10">
        <v>1589941.77</v>
      </c>
      <c r="C185" s="10">
        <v>0</v>
      </c>
      <c r="D185" s="10">
        <v>1589941.77</v>
      </c>
    </row>
    <row r="186" spans="1:4" x14ac:dyDescent="0.25">
      <c r="A186" s="2" t="str">
        <f>"2.4.0.00.00- PATRIMONIO LIQUIDO"</f>
        <v>2.4.0.00.00- PATRIMONIO LIQUIDO</v>
      </c>
      <c r="B186" s="10">
        <v>-63912004.560000002</v>
      </c>
      <c r="C186" s="10">
        <v>-57234.22</v>
      </c>
      <c r="D186" s="10">
        <v>-63969238.780000001</v>
      </c>
    </row>
    <row r="187" spans="1:4" x14ac:dyDescent="0.25">
      <c r="A187" s="2" t="str">
        <f>"2.4.1.00.00- CAPITAL SOCIAL"</f>
        <v>2.4.1.00.00- CAPITAL SOCIAL</v>
      </c>
      <c r="B187" s="10">
        <v>67418193.159999996</v>
      </c>
      <c r="C187" s="10">
        <v>0</v>
      </c>
      <c r="D187" s="10">
        <v>67418193.159999996</v>
      </c>
    </row>
    <row r="188" spans="1:4" x14ac:dyDescent="0.25">
      <c r="A188" s="2" t="str">
        <f>"2.4.1.02.00- CAPITAL REALIZADO"</f>
        <v>2.4.1.02.00- CAPITAL REALIZADO</v>
      </c>
      <c r="B188" s="10">
        <v>67418193.159999996</v>
      </c>
      <c r="C188" s="10">
        <v>0</v>
      </c>
      <c r="D188" s="10">
        <v>67418193.159999996</v>
      </c>
    </row>
    <row r="189" spans="1:4" x14ac:dyDescent="0.25">
      <c r="A189" s="2" t="str">
        <f>"2.4.1.02.01- Capital Subscrito"</f>
        <v>2.4.1.02.01- Capital Subscrito</v>
      </c>
      <c r="B189" s="10">
        <v>75000000</v>
      </c>
      <c r="C189" s="10">
        <v>0</v>
      </c>
      <c r="D189" s="10">
        <v>75000000</v>
      </c>
    </row>
    <row r="190" spans="1:4" x14ac:dyDescent="0.25">
      <c r="A190" s="2" t="str">
        <f>"2.4.1.02.04- Capital a Realizar"</f>
        <v>2.4.1.02.04- Capital a Realizar</v>
      </c>
      <c r="B190" s="10">
        <v>-7581806.8399999999</v>
      </c>
      <c r="C190" s="10">
        <v>0</v>
      </c>
      <c r="D190" s="10">
        <v>-7581806.8399999999</v>
      </c>
    </row>
    <row r="191" spans="1:4" x14ac:dyDescent="0.25">
      <c r="A191" s="2" t="str">
        <f>"2.4.3.00.00- RESULTADOS ACUMULADOS"</f>
        <v>2.4.3.00.00- RESULTADOS ACUMULADOS</v>
      </c>
      <c r="B191" s="10">
        <v>-131330197.72</v>
      </c>
      <c r="C191" s="10">
        <v>-57234.22</v>
      </c>
      <c r="D191" s="10">
        <v>-131387431.94</v>
      </c>
    </row>
    <row r="192" spans="1:4" x14ac:dyDescent="0.25">
      <c r="A192" s="2" t="str">
        <f>"2.4.3.01.00- LUCROS/PREJUIZOS ACUMULADOS"</f>
        <v>2.4.3.01.00- LUCROS/PREJUIZOS ACUMULADOS</v>
      </c>
      <c r="B192" s="10">
        <v>-131330197.72</v>
      </c>
      <c r="C192" s="10">
        <v>-57234.22</v>
      </c>
      <c r="D192" s="10">
        <v>-131387431.94</v>
      </c>
    </row>
    <row r="193" spans="1:4" x14ac:dyDescent="0.25">
      <c r="A193" s="2" t="str">
        <f>"2.4.3.01.01- Resultados de Exerc. Anteriores"</f>
        <v>2.4.3.01.01- Resultados de Exerc. Anteriores</v>
      </c>
      <c r="B193" s="10">
        <v>-131329846.40000001</v>
      </c>
      <c r="C193" s="10">
        <v>0</v>
      </c>
      <c r="D193" s="10">
        <v>-131329846.40000001</v>
      </c>
    </row>
    <row r="194" spans="1:4" x14ac:dyDescent="0.25">
      <c r="A194" s="2" t="str">
        <f>"2.4.3.01.03- Ajuste do Exercicio Anterior"</f>
        <v>2.4.3.01.03- Ajuste do Exercicio Anterior</v>
      </c>
      <c r="B194" s="10">
        <v>-351.32</v>
      </c>
      <c r="C194" s="10">
        <v>-57234.22</v>
      </c>
      <c r="D194" s="10">
        <v>-57585.54</v>
      </c>
    </row>
    <row r="195" spans="1:4" x14ac:dyDescent="0.25">
      <c r="A195" s="2" t="str">
        <f>""</f>
        <v/>
      </c>
      <c r="B195" s="3" t="str">
        <f>""</f>
        <v/>
      </c>
      <c r="C195" s="3" t="str">
        <f>""</f>
        <v/>
      </c>
      <c r="D195" s="3" t="str">
        <f>""</f>
        <v/>
      </c>
    </row>
    <row r="196" spans="1:4" x14ac:dyDescent="0.25">
      <c r="A196" s="2" t="str">
        <f>""</f>
        <v/>
      </c>
      <c r="B196" s="3" t="str">
        <f>""</f>
        <v/>
      </c>
      <c r="C196" s="3" t="str">
        <f>""</f>
        <v/>
      </c>
      <c r="D196" s="3" t="str">
        <f>""</f>
        <v/>
      </c>
    </row>
    <row r="197" spans="1:4" x14ac:dyDescent="0.25">
      <c r="A197" s="2" t="str">
        <f>""</f>
        <v/>
      </c>
      <c r="B197" s="3" t="str">
        <f>""</f>
        <v/>
      </c>
      <c r="C197" s="3" t="str">
        <f>""</f>
        <v/>
      </c>
      <c r="D197" s="3" t="str">
        <f>""</f>
        <v/>
      </c>
    </row>
    <row r="198" spans="1:4" x14ac:dyDescent="0.25">
      <c r="A198" s="2" t="str">
        <f>""</f>
        <v/>
      </c>
      <c r="B198" s="3" t="str">
        <f>""</f>
        <v/>
      </c>
      <c r="C198" s="3" t="str">
        <f>""</f>
        <v/>
      </c>
      <c r="D198" s="3" t="str">
        <f>""</f>
        <v/>
      </c>
    </row>
    <row r="199" spans="1:4" x14ac:dyDescent="0.25">
      <c r="A199" s="2" t="str">
        <f>""</f>
        <v/>
      </c>
      <c r="B199" s="3" t="str">
        <f>""</f>
        <v/>
      </c>
      <c r="C199" s="3" t="str">
        <f>""</f>
        <v/>
      </c>
      <c r="D199" s="3" t="str">
        <f>""</f>
        <v/>
      </c>
    </row>
    <row r="200" spans="1:4" x14ac:dyDescent="0.25">
      <c r="A200" s="2" t="str">
        <f>""</f>
        <v/>
      </c>
      <c r="B200" s="3" t="str">
        <f>""</f>
        <v/>
      </c>
      <c r="C200" s="3" t="str">
        <f>""</f>
        <v/>
      </c>
      <c r="D200" s="3" t="str">
        <f>""</f>
        <v/>
      </c>
    </row>
    <row r="201" spans="1:4" x14ac:dyDescent="0.25">
      <c r="A201" s="2" t="str">
        <f>""</f>
        <v/>
      </c>
      <c r="B201" s="3" t="str">
        <f>""</f>
        <v/>
      </c>
      <c r="C201" s="3" t="str">
        <f>""</f>
        <v/>
      </c>
      <c r="D201" s="3" t="str">
        <f>""</f>
        <v/>
      </c>
    </row>
    <row r="202" spans="1:4" x14ac:dyDescent="0.25">
      <c r="A202" s="2" t="str">
        <f>"DESPESAS"</f>
        <v>DESPESAS</v>
      </c>
      <c r="B202" s="3" t="str">
        <f>""</f>
        <v/>
      </c>
      <c r="C202" s="3" t="str">
        <f>""</f>
        <v/>
      </c>
      <c r="D202" s="3" t="str">
        <f>""</f>
        <v/>
      </c>
    </row>
    <row r="203" spans="1:4" x14ac:dyDescent="0.25">
      <c r="A203" s="2" t="str">
        <f>"3.0.0.00.00- DESPESAS"</f>
        <v>3.0.0.00.00- DESPESAS</v>
      </c>
      <c r="B203" s="10">
        <v>43094419.82</v>
      </c>
      <c r="C203" s="10">
        <v>10498369.710000001</v>
      </c>
      <c r="D203" s="10">
        <v>53592789.530000001</v>
      </c>
    </row>
    <row r="204" spans="1:4" x14ac:dyDescent="0.25">
      <c r="A204" s="2" t="str">
        <f>"3.1.0.00.00- DESPESAS OPERACIONAIS"</f>
        <v>3.1.0.00.00- DESPESAS OPERACIONAIS</v>
      </c>
      <c r="B204" s="10">
        <v>43094419.82</v>
      </c>
      <c r="C204" s="10">
        <v>10498369.710000001</v>
      </c>
      <c r="D204" s="10">
        <v>53592789.530000001</v>
      </c>
    </row>
    <row r="205" spans="1:4" x14ac:dyDescent="0.25">
      <c r="A205" s="2" t="str">
        <f>"3.1.1.00.00- SALARIOS ADICIONAIS E HONORARIOS"</f>
        <v>3.1.1.00.00- SALARIOS ADICIONAIS E HONORARIOS</v>
      </c>
      <c r="B205" s="10">
        <v>22411733.050000001</v>
      </c>
      <c r="C205" s="10">
        <v>5654359.8799999999</v>
      </c>
      <c r="D205" s="10">
        <v>28066092.93</v>
      </c>
    </row>
    <row r="206" spans="1:4" x14ac:dyDescent="0.25">
      <c r="A206" s="2" t="str">
        <f>"3.1.1.00.01- Honorarios diretoria"</f>
        <v>3.1.1.00.01- Honorarios diretoria</v>
      </c>
      <c r="B206" s="10">
        <v>300197.90999999997</v>
      </c>
      <c r="C206" s="10">
        <v>89146.42</v>
      </c>
      <c r="D206" s="10">
        <v>389344.33</v>
      </c>
    </row>
    <row r="207" spans="1:4" x14ac:dyDescent="0.25">
      <c r="A207" s="2" t="str">
        <f>"3.1.1.00.02- Honorarios conselho fiscal"</f>
        <v>3.1.1.00.02- Honorarios conselho fiscal</v>
      </c>
      <c r="B207" s="10">
        <v>21254.82</v>
      </c>
      <c r="C207" s="10">
        <v>5311.5</v>
      </c>
      <c r="D207" s="10">
        <v>26566.32</v>
      </c>
    </row>
    <row r="208" spans="1:4" x14ac:dyDescent="0.25">
      <c r="A208" s="2" t="str">
        <f>"3.1.1.00.03- Honorarios cons. administracao"</f>
        <v>3.1.1.00.03- Honorarios cons. administracao</v>
      </c>
      <c r="B208" s="10">
        <v>42472.44</v>
      </c>
      <c r="C208" s="10">
        <v>10613.71</v>
      </c>
      <c r="D208" s="10">
        <v>53086.15</v>
      </c>
    </row>
    <row r="209" spans="1:4" x14ac:dyDescent="0.25">
      <c r="A209" s="2" t="str">
        <f>"3.1.1.00.04- Salarios e adicionais"</f>
        <v>3.1.1.00.04- Salarios e adicionais</v>
      </c>
      <c r="B209" s="10">
        <v>18149408.379999999</v>
      </c>
      <c r="C209" s="10">
        <v>4593380.3499999996</v>
      </c>
      <c r="D209" s="10">
        <v>22742788.73</v>
      </c>
    </row>
    <row r="210" spans="1:4" x14ac:dyDescent="0.25">
      <c r="A210" s="2" t="str">
        <f>"3.1.1.00.05- Ferias e abono pecuniario"</f>
        <v>3.1.1.00.05- Ferias e abono pecuniario</v>
      </c>
      <c r="B210" s="10">
        <v>2279048.2400000002</v>
      </c>
      <c r="C210" s="10">
        <v>563940.32999999996</v>
      </c>
      <c r="D210" s="10">
        <v>2842988.57</v>
      </c>
    </row>
    <row r="211" spans="1:4" x14ac:dyDescent="0.25">
      <c r="A211" s="2" t="str">
        <f>"3.1.1.00.06- Decimo terceiro salario"</f>
        <v>3.1.1.00.06- Decimo terceiro salario</v>
      </c>
      <c r="B211" s="10">
        <v>1534955.4</v>
      </c>
      <c r="C211" s="10">
        <v>375332.74</v>
      </c>
      <c r="D211" s="10">
        <v>1910288.14</v>
      </c>
    </row>
    <row r="212" spans="1:4" x14ac:dyDescent="0.25">
      <c r="A212" s="2" t="str">
        <f>"3.1.1.00.07- Indenizacoes trabalhistas"</f>
        <v>3.1.1.00.07- Indenizacoes trabalhistas</v>
      </c>
      <c r="B212" s="10">
        <v>19168.990000000002</v>
      </c>
      <c r="C212" s="10">
        <v>3270.53</v>
      </c>
      <c r="D212" s="10">
        <v>22439.52</v>
      </c>
    </row>
    <row r="213" spans="1:4" x14ac:dyDescent="0.25">
      <c r="A213" s="2" t="str">
        <f>"3.1.1.00.08- Bolsas de estagiario"</f>
        <v>3.1.1.00.08- Bolsas de estagiario</v>
      </c>
      <c r="B213" s="10">
        <v>65226.87</v>
      </c>
      <c r="C213" s="10">
        <v>13364.3</v>
      </c>
      <c r="D213" s="10">
        <v>78591.17</v>
      </c>
    </row>
    <row r="214" spans="1:4" x14ac:dyDescent="0.25">
      <c r="A214" s="2" t="str">
        <f>"3.1.2.01.00- ENCARGOS SOCIAIS"</f>
        <v>3.1.2.01.00- ENCARGOS SOCIAIS</v>
      </c>
      <c r="B214" s="10">
        <v>7905123.6600000001</v>
      </c>
      <c r="C214" s="10">
        <v>2083148.81</v>
      </c>
      <c r="D214" s="10">
        <v>9988272.4700000007</v>
      </c>
    </row>
    <row r="215" spans="1:4" x14ac:dyDescent="0.25">
      <c r="A215" s="2" t="str">
        <f>"3.1.2.01.01- INSS"</f>
        <v>3.1.2.01.01- INSS</v>
      </c>
      <c r="B215" s="10">
        <v>6135645.4900000002</v>
      </c>
      <c r="C215" s="10">
        <v>1641078.22</v>
      </c>
      <c r="D215" s="10">
        <v>7776723.71</v>
      </c>
    </row>
    <row r="216" spans="1:4" x14ac:dyDescent="0.25">
      <c r="A216" s="2" t="str">
        <f>"3.1.2.01.02- FGTS"</f>
        <v>3.1.2.01.02- FGTS</v>
      </c>
      <c r="B216" s="10">
        <v>1769478.17</v>
      </c>
      <c r="C216" s="10">
        <v>442070.59</v>
      </c>
      <c r="D216" s="10">
        <v>2211548.7599999998</v>
      </c>
    </row>
    <row r="217" spans="1:4" x14ac:dyDescent="0.25">
      <c r="A217" s="2" t="str">
        <f>"3.1.2.02.00- OUTRAS DESPESAS COM PESSOAL"</f>
        <v>3.1.2.02.00- OUTRAS DESPESAS COM PESSOAL</v>
      </c>
      <c r="B217" s="10">
        <v>3882962.97</v>
      </c>
      <c r="C217" s="10">
        <v>438087.05</v>
      </c>
      <c r="D217" s="10">
        <v>4321050.0199999996</v>
      </c>
    </row>
    <row r="218" spans="1:4" x14ac:dyDescent="0.25">
      <c r="A218" s="2" t="str">
        <f>"3.1.2.02.01- Seguros de Vida"</f>
        <v>3.1.2.02.01- Seguros de Vida</v>
      </c>
      <c r="B218" s="10">
        <v>73884.600000000006</v>
      </c>
      <c r="C218" s="10">
        <v>1064.8399999999999</v>
      </c>
      <c r="D218" s="10">
        <v>74949.440000000002</v>
      </c>
    </row>
    <row r="219" spans="1:4" x14ac:dyDescent="0.25">
      <c r="A219" s="2" t="str">
        <f>"3.1.2.02.02- Ass. Medica Odontologica"</f>
        <v>3.1.2.02.02- Ass. Medica Odontologica</v>
      </c>
      <c r="B219" s="10">
        <v>977945.81</v>
      </c>
      <c r="C219" s="10">
        <v>298073.56</v>
      </c>
      <c r="D219" s="10">
        <v>1276019.3700000001</v>
      </c>
    </row>
    <row r="220" spans="1:4" x14ac:dyDescent="0.25">
      <c r="A220" s="2" t="str">
        <f>"3.1.2.02.03- Vale Transporte"</f>
        <v>3.1.2.02.03- Vale Transporte</v>
      </c>
      <c r="B220" s="10">
        <v>392583.36</v>
      </c>
      <c r="C220" s="10">
        <v>120263.5</v>
      </c>
      <c r="D220" s="10">
        <v>512846.86</v>
      </c>
    </row>
    <row r="221" spans="1:4" x14ac:dyDescent="0.25">
      <c r="A221" s="2" t="str">
        <f>"3.1.2.02.04- Vale Refeicao/Alimentacao"</f>
        <v>3.1.2.02.04- Vale Refeicao/Alimentacao</v>
      </c>
      <c r="B221" s="10">
        <v>2340707.2400000002</v>
      </c>
      <c r="C221" s="10">
        <v>-3138.77</v>
      </c>
      <c r="D221" s="10">
        <v>2337568.4700000002</v>
      </c>
    </row>
    <row r="222" spans="1:4" x14ac:dyDescent="0.25">
      <c r="A222" s="2" t="str">
        <f>"3.1.2.02.05- Compl. Auxilio Doenca"</f>
        <v>3.1.2.02.05- Compl. Auxilio Doenca</v>
      </c>
      <c r="B222" s="10">
        <v>15469.19</v>
      </c>
      <c r="C222" s="10">
        <v>2137.75</v>
      </c>
      <c r="D222" s="10">
        <v>17606.939999999999</v>
      </c>
    </row>
    <row r="223" spans="1:4" x14ac:dyDescent="0.25">
      <c r="A223" s="2" t="str">
        <f>"3.1.2.02.06- Cursos e Treinamentos"</f>
        <v>3.1.2.02.06- Cursos e Treinamentos</v>
      </c>
      <c r="B223" s="10">
        <v>2912</v>
      </c>
      <c r="C223" s="10">
        <v>236</v>
      </c>
      <c r="D223" s="10">
        <v>3148</v>
      </c>
    </row>
    <row r="224" spans="1:4" x14ac:dyDescent="0.25">
      <c r="A224" s="2" t="str">
        <f>"3.1.2.02.07- Auxilio Creche"</f>
        <v>3.1.2.02.07- Auxilio Creche</v>
      </c>
      <c r="B224" s="10">
        <v>79460.77</v>
      </c>
      <c r="C224" s="10">
        <v>19450.169999999998</v>
      </c>
      <c r="D224" s="10">
        <v>98910.94</v>
      </c>
    </row>
    <row r="225" spans="1:4" x14ac:dyDescent="0.25">
      <c r="A225" s="2" t="str">
        <f>"3.1.3.00.00- MATERIAIS"</f>
        <v>3.1.3.00.00- MATERIAIS</v>
      </c>
      <c r="B225" s="10">
        <v>255089.92000000001</v>
      </c>
      <c r="C225" s="10">
        <v>79695.7</v>
      </c>
      <c r="D225" s="10">
        <v>334785.62</v>
      </c>
    </row>
    <row r="226" spans="1:4" x14ac:dyDescent="0.25">
      <c r="A226" s="2" t="str">
        <f>"3.1.3.00.05- Placas/acessorios/mat.fixacao"</f>
        <v>3.1.3.00.05- Placas/acessorios/mat.fixacao</v>
      </c>
      <c r="B226" s="10">
        <v>12705</v>
      </c>
      <c r="C226" s="10">
        <v>0</v>
      </c>
      <c r="D226" s="10">
        <v>12705</v>
      </c>
    </row>
    <row r="227" spans="1:4" x14ac:dyDescent="0.25">
      <c r="A227" s="2" t="str">
        <f>"3.1.3.00.08- Material seguranca e uniformes"</f>
        <v>3.1.3.00.08- Material seguranca e uniformes</v>
      </c>
      <c r="B227" s="10">
        <v>1261.5899999999999</v>
      </c>
      <c r="C227" s="10">
        <v>271</v>
      </c>
      <c r="D227" s="10">
        <v>1532.59</v>
      </c>
    </row>
    <row r="228" spans="1:4" x14ac:dyDescent="0.25">
      <c r="A228" s="2" t="str">
        <f>"3.1.3.00.09- Material limp/conserv/copa/cozin"</f>
        <v>3.1.3.00.09- Material limp/conserv/copa/cozin</v>
      </c>
      <c r="B228" s="10">
        <v>40033.35</v>
      </c>
      <c r="C228" s="10">
        <v>21732.639999999999</v>
      </c>
      <c r="D228" s="10">
        <v>61765.99</v>
      </c>
    </row>
    <row r="229" spans="1:4" x14ac:dyDescent="0.25">
      <c r="A229" s="2" t="str">
        <f>"3.1.3.00.10- Impressos e material de escritorio"</f>
        <v>3.1.3.00.10- Impressos e material de escritorio</v>
      </c>
      <c r="B229" s="10">
        <v>56075.01</v>
      </c>
      <c r="C229" s="10">
        <v>15658.83</v>
      </c>
      <c r="D229" s="10">
        <v>71733.84</v>
      </c>
    </row>
    <row r="230" spans="1:4" x14ac:dyDescent="0.25">
      <c r="A230" s="2" t="str">
        <f>"3.1.3.00.11- Materiais manut. inst. prediais"</f>
        <v>3.1.3.00.11- Materiais manut. inst. prediais</v>
      </c>
      <c r="B230" s="10">
        <v>26259.57</v>
      </c>
      <c r="C230" s="10">
        <v>9905.77</v>
      </c>
      <c r="D230" s="10">
        <v>36165.339999999997</v>
      </c>
    </row>
    <row r="231" spans="1:4" x14ac:dyDescent="0.25">
      <c r="A231" s="2" t="str">
        <f>"3.1.3.00.12- Carnes estacionamento rotativo"</f>
        <v>3.1.3.00.12- Carnes estacionamento rotativo</v>
      </c>
      <c r="B231" s="10">
        <v>100515.41</v>
      </c>
      <c r="C231" s="10">
        <v>31852.54</v>
      </c>
      <c r="D231" s="10">
        <v>132367.95000000001</v>
      </c>
    </row>
    <row r="232" spans="1:4" x14ac:dyDescent="0.25">
      <c r="A232" s="2" t="str">
        <f>"3.1.3.00.15- Materiais e supriment informatic"</f>
        <v>3.1.3.00.15- Materiais e supriment informatic</v>
      </c>
      <c r="B232" s="10">
        <v>14638.38</v>
      </c>
      <c r="C232" s="10">
        <v>274.92</v>
      </c>
      <c r="D232" s="10">
        <v>14913.3</v>
      </c>
    </row>
    <row r="233" spans="1:4" x14ac:dyDescent="0.25">
      <c r="A233" s="2" t="str">
        <f>"3.1.3.00.17- Comb./lubrificantes"</f>
        <v>3.1.3.00.17- Comb./lubrificantes</v>
      </c>
      <c r="B233" s="10">
        <v>191.11</v>
      </c>
      <c r="C233" s="10">
        <v>0</v>
      </c>
      <c r="D233" s="10">
        <v>191.11</v>
      </c>
    </row>
    <row r="234" spans="1:4" x14ac:dyDescent="0.25">
      <c r="A234" s="2" t="str">
        <f>"3.1.3.00.19- Mat.man.cons.veiculos"</f>
        <v>3.1.3.00.19- Mat.man.cons.veiculos</v>
      </c>
      <c r="B234" s="10">
        <v>364</v>
      </c>
      <c r="C234" s="10">
        <v>0</v>
      </c>
      <c r="D234" s="10">
        <v>364</v>
      </c>
    </row>
    <row r="235" spans="1:4" x14ac:dyDescent="0.25">
      <c r="A235" s="2" t="str">
        <f>"3.1.3.00.99- Outros materiais"</f>
        <v>3.1.3.00.99- Outros materiais</v>
      </c>
      <c r="B235" s="10">
        <v>3046.5</v>
      </c>
      <c r="C235" s="10">
        <v>0</v>
      </c>
      <c r="D235" s="10">
        <v>3046.5</v>
      </c>
    </row>
    <row r="236" spans="1:4" x14ac:dyDescent="0.25">
      <c r="A236" s="2" t="str">
        <f>"3.1.4.00.00- SERVICOS PRESTADOS POR TERCEIROS"</f>
        <v>3.1.4.00.00- SERVICOS PRESTADOS POR TERCEIROS</v>
      </c>
      <c r="B236" s="10">
        <v>6694416.6500000004</v>
      </c>
      <c r="C236" s="10">
        <v>1861123.4</v>
      </c>
      <c r="D236" s="10">
        <v>8555540.0500000007</v>
      </c>
    </row>
    <row r="237" spans="1:4" x14ac:dyDescent="0.25">
      <c r="A237" s="2" t="str">
        <f>"3.1.4.00.01- Consultoria"</f>
        <v>3.1.4.00.01- Consultoria</v>
      </c>
      <c r="B237" s="10">
        <v>26600</v>
      </c>
      <c r="C237" s="10">
        <v>0</v>
      </c>
      <c r="D237" s="10">
        <v>26600</v>
      </c>
    </row>
    <row r="238" spans="1:4" x14ac:dyDescent="0.25">
      <c r="A238" s="2" t="str">
        <f>"3.1.4.00.03- Locacao de equipamentos"</f>
        <v>3.1.4.00.03- Locacao de equipamentos</v>
      </c>
      <c r="B238" s="10">
        <v>33528.5</v>
      </c>
      <c r="C238" s="10">
        <v>13411.4</v>
      </c>
      <c r="D238" s="10">
        <v>46939.9</v>
      </c>
    </row>
    <row r="239" spans="1:4" x14ac:dyDescent="0.25">
      <c r="A239" s="2" t="str">
        <f>"3.1.4.00.08- Servicos de auditoria"</f>
        <v>3.1.4.00.08- Servicos de auditoria</v>
      </c>
      <c r="B239" s="10">
        <v>16333.28</v>
      </c>
      <c r="C239" s="10">
        <v>0</v>
      </c>
      <c r="D239" s="10">
        <v>16333.28</v>
      </c>
    </row>
    <row r="240" spans="1:4" x14ac:dyDescent="0.25">
      <c r="A240" s="2" t="str">
        <f>"3.1.4.00.10- Mao de obra contratada"</f>
        <v>3.1.4.00.10- Mao de obra contratada</v>
      </c>
      <c r="B240" s="10">
        <v>479609.2</v>
      </c>
      <c r="C240" s="10">
        <v>92474.3</v>
      </c>
      <c r="D240" s="10">
        <v>572083.5</v>
      </c>
    </row>
    <row r="241" spans="1:4" x14ac:dyDescent="0.25">
      <c r="A241" s="2" t="str">
        <f>"3.1.4.00.13- Publicidade e divulgacao"</f>
        <v>3.1.4.00.13- Publicidade e divulgacao</v>
      </c>
      <c r="B241" s="10">
        <v>75019.33</v>
      </c>
      <c r="C241" s="10">
        <v>0</v>
      </c>
      <c r="D241" s="10">
        <v>75019.33</v>
      </c>
    </row>
    <row r="242" spans="1:4" x14ac:dyDescent="0.25">
      <c r="A242" s="2" t="str">
        <f>"3.1.4.00.14- Informatica-serv. e/ou locacao"</f>
        <v>3.1.4.00.14- Informatica-serv. e/ou locacao</v>
      </c>
      <c r="B242" s="10">
        <v>351357.23</v>
      </c>
      <c r="C242" s="10">
        <v>148091.54999999999</v>
      </c>
      <c r="D242" s="10">
        <v>499448.78</v>
      </c>
    </row>
    <row r="243" spans="1:4" x14ac:dyDescent="0.25">
      <c r="A243" s="2" t="str">
        <f>"3.1.4.00.15- Outros serv. prestados - PF"</f>
        <v>3.1.4.00.15- Outros serv. prestados - PF</v>
      </c>
      <c r="B243" s="10">
        <v>32714.41</v>
      </c>
      <c r="C243" s="10">
        <v>34475.660000000003</v>
      </c>
      <c r="D243" s="10">
        <v>67190.070000000007</v>
      </c>
    </row>
    <row r="244" spans="1:4" x14ac:dyDescent="0.25">
      <c r="A244" s="2" t="str">
        <f>"3.1.4.00.16- Outros serv. Prestados - PJ"</f>
        <v>3.1.4.00.16- Outros serv. Prestados - PJ</v>
      </c>
      <c r="B244" s="10">
        <v>115885.32</v>
      </c>
      <c r="C244" s="10">
        <v>13336.5</v>
      </c>
      <c r="D244" s="10">
        <v>129221.82</v>
      </c>
    </row>
    <row r="245" spans="1:4" x14ac:dyDescent="0.25">
      <c r="A245" s="2" t="str">
        <f>"3.1.4.00.17- Servicos postais"</f>
        <v>3.1.4.00.17- Servicos postais</v>
      </c>
      <c r="B245" s="10">
        <v>21108.05</v>
      </c>
      <c r="C245" s="10">
        <v>2593.13</v>
      </c>
      <c r="D245" s="10">
        <v>23701.18</v>
      </c>
    </row>
    <row r="246" spans="1:4" x14ac:dyDescent="0.25">
      <c r="A246" s="2" t="str">
        <f>"3.1.4.00.18- INSS s/servicos de terceiros"</f>
        <v>3.1.4.00.18- INSS s/servicos de terceiros</v>
      </c>
      <c r="B246" s="10">
        <v>9903.99</v>
      </c>
      <c r="C246" s="10">
        <v>2256.87</v>
      </c>
      <c r="D246" s="10">
        <v>12160.86</v>
      </c>
    </row>
    <row r="247" spans="1:4" x14ac:dyDescent="0.25">
      <c r="A247" s="2" t="str">
        <f>"3.1.4.00.19- Manut. imoveis/instal/equip.oper"</f>
        <v>3.1.4.00.19- Manut. imoveis/instal/equip.oper</v>
      </c>
      <c r="B247" s="10">
        <v>185857.68</v>
      </c>
      <c r="C247" s="10">
        <v>52957.99</v>
      </c>
      <c r="D247" s="10">
        <v>238815.67</v>
      </c>
    </row>
    <row r="248" spans="1:4" x14ac:dyDescent="0.25">
      <c r="A248" s="2" t="str">
        <f>"3.1.4.00.21- Manut. moveis e equip. Escritorio"</f>
        <v>3.1.4.00.21- Manut. moveis e equip. Escritorio</v>
      </c>
      <c r="B248" s="10">
        <v>5256.1</v>
      </c>
      <c r="C248" s="10">
        <v>0</v>
      </c>
      <c r="D248" s="10">
        <v>5256.1</v>
      </c>
    </row>
    <row r="249" spans="1:4" x14ac:dyDescent="0.25">
      <c r="A249" s="2" t="str">
        <f>"3.1.4.00.24- Loc.serv.mensageiro"</f>
        <v>3.1.4.00.24- Loc.serv.mensageiro</v>
      </c>
      <c r="B249" s="10">
        <v>25033.88</v>
      </c>
      <c r="C249" s="10">
        <v>9804.93</v>
      </c>
      <c r="D249" s="10">
        <v>34838.81</v>
      </c>
    </row>
    <row r="250" spans="1:4" x14ac:dyDescent="0.25">
      <c r="A250" s="2" t="str">
        <f>"3.1.4.00.26- Serv.limp.conserv."</f>
        <v>3.1.4.00.26- Serv.limp.conserv.</v>
      </c>
      <c r="B250" s="10">
        <v>5361926.67</v>
      </c>
      <c r="C250" s="10">
        <v>1537369.8</v>
      </c>
      <c r="D250" s="10">
        <v>6899296.4699999997</v>
      </c>
    </row>
    <row r="251" spans="1:4" x14ac:dyDescent="0.25">
      <c r="A251" s="2" t="str">
        <f>"3.1.4.00.34- Comissao s/venda rotativo"</f>
        <v>3.1.4.00.34- Comissao s/venda rotativo</v>
      </c>
      <c r="B251" s="10">
        <v>247858.07</v>
      </c>
      <c r="C251" s="10">
        <v>41311.06</v>
      </c>
      <c r="D251" s="10">
        <v>289169.13</v>
      </c>
    </row>
    <row r="252" spans="1:4" x14ac:dyDescent="0.25">
      <c r="A252" s="2" t="str">
        <f>"3.1.4.00.36- (-) Desconto ISSQN conf Lei 9145 serv. P"</f>
        <v>3.1.4.00.36- (-) Desconto ISSQN conf Lei 9145 serv. P</v>
      </c>
      <c r="B252" s="10">
        <v>-293575.06</v>
      </c>
      <c r="C252" s="10">
        <v>-86959.79</v>
      </c>
      <c r="D252" s="10">
        <v>-380534.85</v>
      </c>
    </row>
    <row r="253" spans="1:4" x14ac:dyDescent="0.25">
      <c r="A253" s="2" t="str">
        <f>"3.1.5.00.00- TARIFAS PUBLICAS"</f>
        <v>3.1.5.00.00- TARIFAS PUBLICAS</v>
      </c>
      <c r="B253" s="10">
        <v>563575.07999999996</v>
      </c>
      <c r="C253" s="10">
        <v>23494.799999999999</v>
      </c>
      <c r="D253" s="10">
        <v>587069.88</v>
      </c>
    </row>
    <row r="254" spans="1:4" x14ac:dyDescent="0.25">
      <c r="A254" s="2" t="str">
        <f>"3.1.5.00.02- Energia eletrica"</f>
        <v>3.1.5.00.02- Energia eletrica</v>
      </c>
      <c r="B254" s="10">
        <v>439419.45</v>
      </c>
      <c r="C254" s="10">
        <v>179.46</v>
      </c>
      <c r="D254" s="10">
        <v>439598.91</v>
      </c>
    </row>
    <row r="255" spans="1:4" x14ac:dyDescent="0.25">
      <c r="A255" s="2" t="str">
        <f>"3.1.5.00.03- Telefone"</f>
        <v>3.1.5.00.03- Telefone</v>
      </c>
      <c r="B255" s="10">
        <v>124155.63</v>
      </c>
      <c r="C255" s="10">
        <v>23315.34</v>
      </c>
      <c r="D255" s="10">
        <v>147470.97</v>
      </c>
    </row>
    <row r="256" spans="1:4" x14ac:dyDescent="0.25">
      <c r="A256" s="2" t="str">
        <f>"3.1.6.00.00- DESPESAS TRIBUTARIAS"</f>
        <v>3.1.6.00.00- DESPESAS TRIBUTARIAS</v>
      </c>
      <c r="B256" s="10">
        <v>894786.04</v>
      </c>
      <c r="C256" s="10">
        <v>258406.62</v>
      </c>
      <c r="D256" s="10">
        <v>1153192.6599999999</v>
      </c>
    </row>
    <row r="257" spans="1:4" x14ac:dyDescent="0.25">
      <c r="A257" s="2" t="str">
        <f>"3.1.6.00.01- Taxas legais"</f>
        <v>3.1.6.00.01- Taxas legais</v>
      </c>
      <c r="B257" s="10">
        <v>17936.14</v>
      </c>
      <c r="C257" s="10">
        <v>2469.5300000000002</v>
      </c>
      <c r="D257" s="10">
        <v>20405.669999999998</v>
      </c>
    </row>
    <row r="258" spans="1:4" x14ac:dyDescent="0.25">
      <c r="A258" s="2" t="str">
        <f>"3.1.6.00.03- IOF"</f>
        <v>3.1.6.00.03- IOF</v>
      </c>
      <c r="B258" s="10">
        <v>1100.01</v>
      </c>
      <c r="C258" s="10">
        <v>0</v>
      </c>
      <c r="D258" s="10">
        <v>1100.01</v>
      </c>
    </row>
    <row r="259" spans="1:4" x14ac:dyDescent="0.25">
      <c r="A259" s="2" t="str">
        <f>"3.1.6.00.06- PIS"</f>
        <v>3.1.6.00.06- PIS</v>
      </c>
      <c r="B259" s="10">
        <v>138640.13</v>
      </c>
      <c r="C259" s="10">
        <v>39626.620000000003</v>
      </c>
      <c r="D259" s="10">
        <v>178266.75</v>
      </c>
    </row>
    <row r="260" spans="1:4" x14ac:dyDescent="0.25">
      <c r="A260" s="2" t="str">
        <f>"3.1.6.00.07- COFINS"</f>
        <v>3.1.6.00.07- COFINS</v>
      </c>
      <c r="B260" s="10">
        <v>638584.88</v>
      </c>
      <c r="C260" s="10">
        <v>182522.63</v>
      </c>
      <c r="D260" s="10">
        <v>821107.51</v>
      </c>
    </row>
    <row r="261" spans="1:4" x14ac:dyDescent="0.25">
      <c r="A261" s="2" t="str">
        <f>"3.1.6.00.08- Multas indedutiveis"</f>
        <v>3.1.6.00.08- Multas indedutiveis</v>
      </c>
      <c r="B261" s="10">
        <v>0</v>
      </c>
      <c r="C261" s="10">
        <v>26966.37</v>
      </c>
      <c r="D261" s="10">
        <v>26966.37</v>
      </c>
    </row>
    <row r="262" spans="1:4" x14ac:dyDescent="0.25">
      <c r="A262" s="2" t="str">
        <f>"3.1.6.00.10- ISS s/faturamento"</f>
        <v>3.1.6.00.10- ISS s/faturamento</v>
      </c>
      <c r="B262" s="10">
        <v>7594.59</v>
      </c>
      <c r="C262" s="10">
        <v>2058.94</v>
      </c>
      <c r="D262" s="10">
        <v>9653.5300000000007</v>
      </c>
    </row>
    <row r="263" spans="1:4" x14ac:dyDescent="0.25">
      <c r="A263" s="2" t="str">
        <f>"3.1.6.00.11- Custas/despesas judiciais"</f>
        <v>3.1.6.00.11- Custas/despesas judiciais</v>
      </c>
      <c r="B263" s="10">
        <v>60</v>
      </c>
      <c r="C263" s="10">
        <v>0</v>
      </c>
      <c r="D263" s="10">
        <v>60</v>
      </c>
    </row>
    <row r="264" spans="1:4" x14ac:dyDescent="0.25">
      <c r="A264" s="2" t="str">
        <f>"3.1.6.00.14- Contrib.entid.classe"</f>
        <v>3.1.6.00.14- Contrib.entid.classe</v>
      </c>
      <c r="B264" s="10">
        <v>80718.09</v>
      </c>
      <c r="C264" s="10">
        <v>0</v>
      </c>
      <c r="D264" s="10">
        <v>80718.09</v>
      </c>
    </row>
    <row r="265" spans="1:4" x14ac:dyDescent="0.25">
      <c r="A265" s="2" t="str">
        <f>"3.1.6.00.15- INSS Serv.terceiros"</f>
        <v>3.1.6.00.15- INSS Serv.terceiros</v>
      </c>
      <c r="B265" s="10">
        <v>4823.12</v>
      </c>
      <c r="C265" s="10">
        <v>2089.7600000000002</v>
      </c>
      <c r="D265" s="10">
        <v>6912.88</v>
      </c>
    </row>
    <row r="266" spans="1:4" x14ac:dyDescent="0.25">
      <c r="A266" s="2" t="str">
        <f>"3.1.6.00.17- PIS s/ receitas financeiras"</f>
        <v>3.1.6.00.17- PIS s/ receitas financeiras</v>
      </c>
      <c r="B266" s="10">
        <v>744.92</v>
      </c>
      <c r="C266" s="10">
        <v>373.61</v>
      </c>
      <c r="D266" s="10">
        <v>1118.53</v>
      </c>
    </row>
    <row r="267" spans="1:4" x14ac:dyDescent="0.25">
      <c r="A267" s="2" t="str">
        <f>"3.1.6.00.18- Cofins s/ receitas financeiras"</f>
        <v>3.1.6.00.18- Cofins s/ receitas financeiras</v>
      </c>
      <c r="B267" s="10">
        <v>4584.16</v>
      </c>
      <c r="C267" s="10">
        <v>2299.16</v>
      </c>
      <c r="D267" s="10">
        <v>6883.32</v>
      </c>
    </row>
    <row r="268" spans="1:4" x14ac:dyDescent="0.25">
      <c r="A268" s="2" t="str">
        <f>"3.1.7.00.00- DESPESAS FINANCEIRAS"</f>
        <v>3.1.7.00.00- DESPESAS FINANCEIRAS</v>
      </c>
      <c r="B268" s="10">
        <v>9952.18</v>
      </c>
      <c r="C268" s="10">
        <v>2076.64</v>
      </c>
      <c r="D268" s="10">
        <v>12028.82</v>
      </c>
    </row>
    <row r="269" spans="1:4" x14ac:dyDescent="0.25">
      <c r="A269" s="2" t="str">
        <f>"3.1.7.01.01- Juros passivos curto prazo"</f>
        <v>3.1.7.01.01- Juros passivos curto prazo</v>
      </c>
      <c r="B269" s="10">
        <v>0</v>
      </c>
      <c r="C269" s="10">
        <v>61.07</v>
      </c>
      <c r="D269" s="10">
        <v>61.07</v>
      </c>
    </row>
    <row r="270" spans="1:4" x14ac:dyDescent="0.25">
      <c r="A270" s="2" t="str">
        <f>"3.1.7.01.02- Despesas bancarias"</f>
        <v>3.1.7.01.02- Despesas bancarias</v>
      </c>
      <c r="B270" s="10">
        <v>9952.18</v>
      </c>
      <c r="C270" s="10">
        <v>2015.57</v>
      </c>
      <c r="D270" s="10">
        <v>11967.75</v>
      </c>
    </row>
    <row r="271" spans="1:4" x14ac:dyDescent="0.25">
      <c r="A271" s="2" t="str">
        <f>"3.1.8.00.00- OUTRAS DESPESAS"</f>
        <v>3.1.8.00.00- OUTRAS DESPESAS</v>
      </c>
      <c r="B271" s="10">
        <v>476780.27</v>
      </c>
      <c r="C271" s="10">
        <v>97976.81</v>
      </c>
      <c r="D271" s="10">
        <v>574757.07999999996</v>
      </c>
    </row>
    <row r="272" spans="1:4" x14ac:dyDescent="0.25">
      <c r="A272" s="2" t="str">
        <f>"3.1.8.00.01- Despesas de viagem"</f>
        <v>3.1.8.00.01- Despesas de viagem</v>
      </c>
      <c r="B272" s="10">
        <v>7561.91</v>
      </c>
      <c r="C272" s="10">
        <v>0</v>
      </c>
      <c r="D272" s="10">
        <v>7561.91</v>
      </c>
    </row>
    <row r="273" spans="1:4" x14ac:dyDescent="0.25">
      <c r="A273" s="2" t="str">
        <f>"3.1.8.00.05- Depreciacao/amort"</f>
        <v>3.1.8.00.05- Depreciacao/amort</v>
      </c>
      <c r="B273" s="10">
        <v>93660.479999999996</v>
      </c>
      <c r="C273" s="10">
        <v>22219.32</v>
      </c>
      <c r="D273" s="10">
        <v>115879.8</v>
      </c>
    </row>
    <row r="274" spans="1:4" x14ac:dyDescent="0.25">
      <c r="A274" s="2" t="str">
        <f>"3.1.8.00.06- Seguros bens moveis e imoveis"</f>
        <v>3.1.8.00.06- Seguros bens moveis e imoveis</v>
      </c>
      <c r="B274" s="10">
        <v>3030.79</v>
      </c>
      <c r="C274" s="10">
        <v>709.62</v>
      </c>
      <c r="D274" s="10">
        <v>3740.41</v>
      </c>
    </row>
    <row r="275" spans="1:4" x14ac:dyDescent="0.25">
      <c r="A275" s="2" t="str">
        <f>"3.1.8.00.08- Alugueis e condominio"</f>
        <v>3.1.8.00.08- Alugueis e condominio</v>
      </c>
      <c r="B275" s="10">
        <v>20287.240000000002</v>
      </c>
      <c r="C275" s="10">
        <v>0</v>
      </c>
      <c r="D275" s="10">
        <v>20287.240000000002</v>
      </c>
    </row>
    <row r="276" spans="1:4" x14ac:dyDescent="0.25">
      <c r="A276" s="2" t="str">
        <f>"3.1.8.00.16- Baixa de imobilizado"</f>
        <v>3.1.8.00.16- Baixa de imobilizado</v>
      </c>
      <c r="B276" s="10">
        <v>4022.49</v>
      </c>
      <c r="C276" s="10">
        <v>0</v>
      </c>
      <c r="D276" s="10">
        <v>4022.49</v>
      </c>
    </row>
    <row r="277" spans="1:4" x14ac:dyDescent="0.25">
      <c r="A277" s="2" t="str">
        <f>"3.1.8.00.17- Gastos com eventos e promocoes"</f>
        <v>3.1.8.00.17- Gastos com eventos e promocoes</v>
      </c>
      <c r="B277" s="10">
        <v>189317.65</v>
      </c>
      <c r="C277" s="10">
        <v>32047.55</v>
      </c>
      <c r="D277" s="10">
        <v>221365.2</v>
      </c>
    </row>
    <row r="278" spans="1:4" x14ac:dyDescent="0.25">
      <c r="A278" s="2" t="str">
        <f>"3.1.8.00.18- Provisao para perdas"</f>
        <v>3.1.8.00.18- Provisao para perdas</v>
      </c>
      <c r="B278" s="10">
        <v>137827.88</v>
      </c>
      <c r="C278" s="10">
        <v>41822.51</v>
      </c>
      <c r="D278" s="10">
        <v>179650.39</v>
      </c>
    </row>
    <row r="279" spans="1:4" x14ac:dyDescent="0.25">
      <c r="A279" s="2" t="str">
        <f>"3.1.8.00.23- Custas/Despesas Judiciais"</f>
        <v>3.1.8.00.23- Custas/Despesas Judiciais</v>
      </c>
      <c r="B279" s="10">
        <v>20754.32</v>
      </c>
      <c r="C279" s="10">
        <v>1252.81</v>
      </c>
      <c r="D279" s="10">
        <v>22007.13</v>
      </c>
    </row>
    <row r="280" spans="1:4" x14ac:dyDescent="0.25">
      <c r="A280" s="2" t="str">
        <f>"3.1.8.00.99- Despesas diversas"</f>
        <v>3.1.8.00.99- Despesas diversas</v>
      </c>
      <c r="B280" s="10">
        <v>317.51</v>
      </c>
      <c r="C280" s="10">
        <v>-75</v>
      </c>
      <c r="D280" s="10">
        <v>242.51</v>
      </c>
    </row>
    <row r="281" spans="1:4" x14ac:dyDescent="0.25">
      <c r="A281" s="2" t="str">
        <f>""</f>
        <v/>
      </c>
      <c r="B281" s="3" t="str">
        <f>""</f>
        <v/>
      </c>
      <c r="C281" s="3" t="str">
        <f>""</f>
        <v/>
      </c>
      <c r="D281" s="3" t="str">
        <f>""</f>
        <v/>
      </c>
    </row>
    <row r="282" spans="1:4" x14ac:dyDescent="0.25">
      <c r="A282" s="2" t="str">
        <f>""</f>
        <v/>
      </c>
      <c r="B282" s="3" t="str">
        <f>""</f>
        <v/>
      </c>
      <c r="C282" s="3" t="str">
        <f>""</f>
        <v/>
      </c>
      <c r="D282" s="3" t="str">
        <f>""</f>
        <v/>
      </c>
    </row>
    <row r="283" spans="1:4" x14ac:dyDescent="0.25">
      <c r="A283" s="2" t="str">
        <f>""</f>
        <v/>
      </c>
      <c r="B283" s="3" t="str">
        <f>""</f>
        <v/>
      </c>
      <c r="C283" s="3" t="str">
        <f>""</f>
        <v/>
      </c>
      <c r="D283" s="3" t="str">
        <f>""</f>
        <v/>
      </c>
    </row>
    <row r="284" spans="1:4" x14ac:dyDescent="0.25">
      <c r="A284" s="2" t="str">
        <f>""</f>
        <v/>
      </c>
      <c r="B284" s="3" t="str">
        <f>""</f>
        <v/>
      </c>
      <c r="C284" s="3" t="str">
        <f>""</f>
        <v/>
      </c>
      <c r="D284" s="3" t="str">
        <f>""</f>
        <v/>
      </c>
    </row>
    <row r="285" spans="1:4" x14ac:dyDescent="0.25">
      <c r="A285" s="2" t="str">
        <f>""</f>
        <v/>
      </c>
      <c r="B285" s="3" t="str">
        <f>""</f>
        <v/>
      </c>
      <c r="C285" s="3" t="str">
        <f>""</f>
        <v/>
      </c>
      <c r="D285" s="3" t="str">
        <f>""</f>
        <v/>
      </c>
    </row>
    <row r="286" spans="1:4" x14ac:dyDescent="0.25">
      <c r="A286" s="2" t="str">
        <f>""</f>
        <v/>
      </c>
      <c r="B286" s="3" t="str">
        <f>""</f>
        <v/>
      </c>
      <c r="C286" s="3" t="str">
        <f>""</f>
        <v/>
      </c>
      <c r="D286" s="3" t="str">
        <f>""</f>
        <v/>
      </c>
    </row>
    <row r="287" spans="1:4" x14ac:dyDescent="0.25">
      <c r="A287" s="2" t="str">
        <f>""</f>
        <v/>
      </c>
      <c r="B287" s="3" t="str">
        <f>""</f>
        <v/>
      </c>
      <c r="C287" s="3" t="str">
        <f>""</f>
        <v/>
      </c>
      <c r="D287" s="3" t="str">
        <f>""</f>
        <v/>
      </c>
    </row>
    <row r="288" spans="1:4" x14ac:dyDescent="0.25">
      <c r="A288" s="2" t="str">
        <f>""</f>
        <v/>
      </c>
      <c r="B288" s="3" t="str">
        <f>""</f>
        <v/>
      </c>
      <c r="C288" s="3" t="str">
        <f>""</f>
        <v/>
      </c>
      <c r="D288" s="3" t="str">
        <f>""</f>
        <v/>
      </c>
    </row>
    <row r="289" spans="1:4" x14ac:dyDescent="0.25">
      <c r="A289" s="2" t="str">
        <f>""</f>
        <v/>
      </c>
      <c r="B289" s="3" t="str">
        <f>""</f>
        <v/>
      </c>
      <c r="C289" s="3" t="str">
        <f>""</f>
        <v/>
      </c>
      <c r="D289" s="3" t="str">
        <f>""</f>
        <v/>
      </c>
    </row>
    <row r="290" spans="1:4" x14ac:dyDescent="0.25">
      <c r="A290" s="2" t="str">
        <f>""</f>
        <v/>
      </c>
      <c r="B290" s="3" t="str">
        <f>""</f>
        <v/>
      </c>
      <c r="C290" s="3" t="str">
        <f>""</f>
        <v/>
      </c>
      <c r="D290" s="3" t="str">
        <f>""</f>
        <v/>
      </c>
    </row>
    <row r="291" spans="1:4" x14ac:dyDescent="0.25">
      <c r="A291" s="2" t="str">
        <f>"RECEITAS"</f>
        <v>RECEITAS</v>
      </c>
      <c r="B291" s="3" t="str">
        <f>""</f>
        <v/>
      </c>
      <c r="C291" s="3" t="str">
        <f>""</f>
        <v/>
      </c>
      <c r="D291" s="3" t="str">
        <f>""</f>
        <v/>
      </c>
    </row>
    <row r="292" spans="1:4" x14ac:dyDescent="0.25">
      <c r="A292" s="2" t="str">
        <f>"4.0.0.00.00- RECEITAS"</f>
        <v>4.0.0.00.00- RECEITAS</v>
      </c>
      <c r="B292" s="10">
        <v>42087524.43</v>
      </c>
      <c r="C292" s="10">
        <v>10115369.810000001</v>
      </c>
      <c r="D292" s="10">
        <v>52202894.240000002</v>
      </c>
    </row>
    <row r="293" spans="1:4" x14ac:dyDescent="0.25">
      <c r="A293" s="2" t="str">
        <f>"4.1.0.00.00- RECEITAS BHTRANS"</f>
        <v>4.1.0.00.00- RECEITAS BHTRANS</v>
      </c>
      <c r="B293" s="10">
        <v>41362810.859999999</v>
      </c>
      <c r="C293" s="10">
        <v>9932156.9100000001</v>
      </c>
      <c r="D293" s="10">
        <v>51294967.770000003</v>
      </c>
    </row>
    <row r="294" spans="1:4" x14ac:dyDescent="0.25">
      <c r="A294" s="2" t="str">
        <f>"4.1.1.00.00- RECEITAS OPERACIONAIS"</f>
        <v>4.1.1.00.00- RECEITAS OPERACIONAIS</v>
      </c>
      <c r="B294" s="10">
        <v>41125426.539999999</v>
      </c>
      <c r="C294" s="10">
        <v>9870028.8699999992</v>
      </c>
      <c r="D294" s="10">
        <v>50995455.409999996</v>
      </c>
    </row>
    <row r="295" spans="1:4" x14ac:dyDescent="0.25">
      <c r="A295" s="2" t="str">
        <f>"4.1.1.00.05- Midia taxi, escolar e suplementar"</f>
        <v>4.1.1.00.05- Midia taxi, escolar e suplementar</v>
      </c>
      <c r="B295" s="10">
        <v>14804.89</v>
      </c>
      <c r="C295" s="10">
        <v>4002.82</v>
      </c>
      <c r="D295" s="10">
        <v>18807.71</v>
      </c>
    </row>
    <row r="296" spans="1:4" x14ac:dyDescent="0.25">
      <c r="A296" s="2" t="str">
        <f>"4.1.1.00.06- Midia em onibus"</f>
        <v>4.1.1.00.06- Midia em onibus</v>
      </c>
      <c r="B296" s="10">
        <v>207812.11</v>
      </c>
      <c r="C296" s="10">
        <v>57002.47</v>
      </c>
      <c r="D296" s="10">
        <v>264814.58</v>
      </c>
    </row>
    <row r="297" spans="1:4" x14ac:dyDescent="0.25">
      <c r="A297" s="2" t="str">
        <f>"4.1.1.00.07- Midias diversas"</f>
        <v>4.1.1.00.07- Midias diversas</v>
      </c>
      <c r="B297" s="10">
        <v>30502.68</v>
      </c>
      <c r="C297" s="10">
        <v>7625.67</v>
      </c>
      <c r="D297" s="10">
        <v>38128.35</v>
      </c>
    </row>
    <row r="298" spans="1:4" x14ac:dyDescent="0.25">
      <c r="A298" s="2" t="str">
        <f>"4.1.1.00.08- Estacionamento Rotativo"</f>
        <v>4.1.1.00.08- Estacionamento Rotativo</v>
      </c>
      <c r="B298" s="10">
        <v>5187158.05</v>
      </c>
      <c r="C298" s="10">
        <v>1575239.4</v>
      </c>
      <c r="D298" s="10">
        <v>6762397.4500000002</v>
      </c>
    </row>
    <row r="299" spans="1:4" x14ac:dyDescent="0.25">
      <c r="A299" s="2" t="str">
        <f>"4.1.1.00.10- Transf. financeira PBH"</f>
        <v>4.1.1.00.10- Transf. financeira PBH</v>
      </c>
      <c r="B299" s="10">
        <v>33570488.060000002</v>
      </c>
      <c r="C299" s="10">
        <v>7656277.29</v>
      </c>
      <c r="D299" s="10">
        <v>41226765.350000001</v>
      </c>
    </row>
    <row r="300" spans="1:4" x14ac:dyDescent="0.25">
      <c r="A300" s="2" t="str">
        <f>"4.1.1.00.16- Multas transporte coletivo"</f>
        <v>4.1.1.00.16- Multas transporte coletivo</v>
      </c>
      <c r="B300" s="10">
        <v>1378278.73</v>
      </c>
      <c r="C300" s="10">
        <v>418225.1</v>
      </c>
      <c r="D300" s="10">
        <v>1796503.83</v>
      </c>
    </row>
    <row r="301" spans="1:4" x14ac:dyDescent="0.25">
      <c r="A301" s="2" t="str">
        <f>"4.1.1.00.17- Multas transporte publico"</f>
        <v>4.1.1.00.17- Multas transporte publico</v>
      </c>
      <c r="B301" s="10">
        <v>547406.37</v>
      </c>
      <c r="C301" s="10">
        <v>122253.12</v>
      </c>
      <c r="D301" s="10">
        <v>669659.49</v>
      </c>
    </row>
    <row r="302" spans="1:4" x14ac:dyDescent="0.25">
      <c r="A302" s="2" t="str">
        <f>"4.1.1.00.19- Subconcessao frotas de taxi"</f>
        <v>4.1.1.00.19- Subconcessao frotas de taxi</v>
      </c>
      <c r="B302" s="10">
        <v>188975.65</v>
      </c>
      <c r="C302" s="10">
        <v>29403</v>
      </c>
      <c r="D302" s="10">
        <v>218378.65</v>
      </c>
    </row>
    <row r="303" spans="1:4" x14ac:dyDescent="0.25">
      <c r="A303" s="2" t="str">
        <f>"4.1.2.00.00- RECEITAS ESTACAO DIAMANTE"</f>
        <v>4.1.2.00.00- RECEITAS ESTACAO DIAMANTE</v>
      </c>
      <c r="B303" s="10">
        <v>165193.26</v>
      </c>
      <c r="C303" s="10">
        <v>52431.76</v>
      </c>
      <c r="D303" s="10">
        <v>217625.02</v>
      </c>
    </row>
    <row r="304" spans="1:4" x14ac:dyDescent="0.25">
      <c r="A304" s="2" t="str">
        <f>"4.1.2.00.01- Alugueis"</f>
        <v>4.1.2.00.01- Alugueis</v>
      </c>
      <c r="B304" s="10">
        <v>165193.26</v>
      </c>
      <c r="C304" s="10">
        <v>52431.76</v>
      </c>
      <c r="D304" s="10">
        <v>217625.02</v>
      </c>
    </row>
    <row r="305" spans="1:4" x14ac:dyDescent="0.25">
      <c r="A305" s="2" t="str">
        <f>"4.1.3.00.00- RECEITAS ESTACAO VENDA NOVA"</f>
        <v>4.1.3.00.00- RECEITAS ESTACAO VENDA NOVA</v>
      </c>
      <c r="B305" s="10">
        <v>68759.06</v>
      </c>
      <c r="C305" s="10">
        <v>9696.2800000000007</v>
      </c>
      <c r="D305" s="10">
        <v>78455.34</v>
      </c>
    </row>
    <row r="306" spans="1:4" x14ac:dyDescent="0.25">
      <c r="A306" s="2" t="str">
        <f>"4.1.3.00.01- Alugueis"</f>
        <v>4.1.3.00.01- Alugueis</v>
      </c>
      <c r="B306" s="10">
        <v>68759.06</v>
      </c>
      <c r="C306" s="10">
        <v>9696.2800000000007</v>
      </c>
      <c r="D306" s="10">
        <v>78455.34</v>
      </c>
    </row>
    <row r="307" spans="1:4" x14ac:dyDescent="0.25">
      <c r="A307" s="2" t="str">
        <f>"4.1.6.00.00- RECEITAS ESTACAO PAMPULHA"</f>
        <v>4.1.6.00.00- RECEITAS ESTACAO PAMPULHA</v>
      </c>
      <c r="B307" s="10">
        <v>3432</v>
      </c>
      <c r="C307" s="10">
        <v>0</v>
      </c>
      <c r="D307" s="10">
        <v>3432</v>
      </c>
    </row>
    <row r="308" spans="1:4" x14ac:dyDescent="0.25">
      <c r="A308" s="2" t="str">
        <f>"4.1.6.00.01- Alugueis"</f>
        <v>4.1.6.00.01- Alugueis</v>
      </c>
      <c r="B308" s="10">
        <v>3432</v>
      </c>
      <c r="C308" s="10">
        <v>0</v>
      </c>
      <c r="D308" s="10">
        <v>3432</v>
      </c>
    </row>
    <row r="309" spans="1:4" x14ac:dyDescent="0.25">
      <c r="A309" s="2" t="str">
        <f>"4.2.0.00.00- RECEITAS FINANCEIRAS"</f>
        <v>4.2.0.00.00- RECEITAS FINANCEIRAS</v>
      </c>
      <c r="B309" s="10">
        <v>114603.69</v>
      </c>
      <c r="C309" s="10">
        <v>57479</v>
      </c>
      <c r="D309" s="10">
        <v>172082.69</v>
      </c>
    </row>
    <row r="310" spans="1:4" x14ac:dyDescent="0.25">
      <c r="A310" s="2" t="str">
        <f>"4.2.1.00.00- RECEITAS FINANCEIRAS"</f>
        <v>4.2.1.00.00- RECEITAS FINANCEIRAS</v>
      </c>
      <c r="B310" s="10">
        <v>114198.57</v>
      </c>
      <c r="C310" s="10">
        <v>57379.85</v>
      </c>
      <c r="D310" s="10">
        <v>171578.42</v>
      </c>
    </row>
    <row r="311" spans="1:4" x14ac:dyDescent="0.25">
      <c r="A311" s="2" t="str">
        <f>"4.2.1.00.01- Rendimentos aplic. Financeira"</f>
        <v>4.2.1.00.01- Rendimentos aplic. Financeira</v>
      </c>
      <c r="B311" s="10">
        <v>113660.78</v>
      </c>
      <c r="C311" s="10">
        <v>56420.95</v>
      </c>
      <c r="D311" s="10">
        <v>170081.73</v>
      </c>
    </row>
    <row r="312" spans="1:4" x14ac:dyDescent="0.25">
      <c r="A312" s="2" t="str">
        <f>"4.2.1.00.02- Juros ativos"</f>
        <v>4.2.1.00.02- Juros ativos</v>
      </c>
      <c r="B312" s="10">
        <v>537.79</v>
      </c>
      <c r="C312" s="10">
        <v>958.9</v>
      </c>
      <c r="D312" s="10">
        <v>1496.69</v>
      </c>
    </row>
    <row r="313" spans="1:4" x14ac:dyDescent="0.25">
      <c r="A313" s="2" t="str">
        <f>"4.2.2.00.00- VARIACOES MONETARIAS ATIVAS"</f>
        <v>4.2.2.00.00- VARIACOES MONETARIAS ATIVAS</v>
      </c>
      <c r="B313" s="10">
        <v>405.12</v>
      </c>
      <c r="C313" s="10">
        <v>99.15</v>
      </c>
      <c r="D313" s="10">
        <v>504.27</v>
      </c>
    </row>
    <row r="314" spans="1:4" x14ac:dyDescent="0.25">
      <c r="A314" s="2" t="str">
        <f>"4.2.2.00.01- Variações monetárias ativas"</f>
        <v>4.2.2.00.01- Variações monetárias ativas</v>
      </c>
      <c r="B314" s="10">
        <v>405.12</v>
      </c>
      <c r="C314" s="10">
        <v>99.15</v>
      </c>
      <c r="D314" s="10">
        <v>504.27</v>
      </c>
    </row>
    <row r="315" spans="1:4" x14ac:dyDescent="0.25">
      <c r="A315" s="2" t="str">
        <f>"4.3.0.00.00- OUTRAS RECEITAS"</f>
        <v>4.3.0.00.00- OUTRAS RECEITAS</v>
      </c>
      <c r="B315" s="10">
        <v>610109.88</v>
      </c>
      <c r="C315" s="10">
        <v>125733.9</v>
      </c>
      <c r="D315" s="10">
        <v>735843.78</v>
      </c>
    </row>
    <row r="316" spans="1:4" x14ac:dyDescent="0.25">
      <c r="A316" s="2" t="str">
        <f>"4.3.1.00.00- OUTRAS RECEITAS"</f>
        <v>4.3.1.00.00- OUTRAS RECEITAS</v>
      </c>
      <c r="B316" s="10">
        <v>610109.88</v>
      </c>
      <c r="C316" s="10">
        <v>125733.9</v>
      </c>
      <c r="D316" s="10">
        <v>735843.78</v>
      </c>
    </row>
    <row r="317" spans="1:4" x14ac:dyDescent="0.25">
      <c r="A317" s="2" t="str">
        <f>"4.3.1.00.04- Receitas Diversas"</f>
        <v>4.3.1.00.04- Receitas Diversas</v>
      </c>
      <c r="B317" s="10">
        <v>336189.87</v>
      </c>
      <c r="C317" s="10">
        <v>39817.230000000003</v>
      </c>
      <c r="D317" s="10">
        <v>376007.1</v>
      </c>
    </row>
    <row r="318" spans="1:4" x14ac:dyDescent="0.25">
      <c r="A318" s="2" t="str">
        <f>"4.3.1.00.07- Concessão de Abrigo de ônibus"</f>
        <v>4.3.1.00.07- Concessão de Abrigo de ônibus</v>
      </c>
      <c r="B318" s="10">
        <v>273920.01</v>
      </c>
      <c r="C318" s="10">
        <v>85916.67</v>
      </c>
      <c r="D318" s="10">
        <v>359836.68</v>
      </c>
    </row>
    <row r="319" spans="1:4" x14ac:dyDescent="0.25">
      <c r="A319" s="2" t="str">
        <f>""</f>
        <v/>
      </c>
      <c r="B319" s="3" t="str">
        <f>""</f>
        <v/>
      </c>
      <c r="C319" s="3" t="str">
        <f>""</f>
        <v/>
      </c>
      <c r="D319" s="3" t="str">
        <f>""</f>
        <v/>
      </c>
    </row>
    <row r="320" spans="1:4" x14ac:dyDescent="0.25">
      <c r="A320" s="2" t="str">
        <f>""</f>
        <v/>
      </c>
      <c r="B320" s="3" t="str">
        <f>""</f>
        <v/>
      </c>
      <c r="C320" s="3" t="str">
        <f>""</f>
        <v/>
      </c>
      <c r="D320" s="3" t="str">
        <f>""</f>
        <v/>
      </c>
    </row>
    <row r="321" spans="1:4" x14ac:dyDescent="0.25">
      <c r="A321" s="2" t="str">
        <f>""</f>
        <v/>
      </c>
      <c r="B321" s="3" t="str">
        <f>""</f>
        <v/>
      </c>
      <c r="C321" s="3" t="str">
        <f>""</f>
        <v/>
      </c>
      <c r="D321" s="3" t="str">
        <f>""</f>
        <v/>
      </c>
    </row>
    <row r="322" spans="1:4" x14ac:dyDescent="0.25">
      <c r="A322" s="2" t="str">
        <f>""</f>
        <v/>
      </c>
      <c r="B322" s="3" t="str">
        <f>""</f>
        <v/>
      </c>
      <c r="C322" s="3" t="str">
        <f>""</f>
        <v/>
      </c>
      <c r="D322" s="3" t="str">
        <f>""</f>
        <v/>
      </c>
    </row>
    <row r="323" spans="1:4" x14ac:dyDescent="0.25">
      <c r="A323" s="2" t="str">
        <f>""</f>
        <v/>
      </c>
      <c r="B323" s="3" t="str">
        <f>""</f>
        <v/>
      </c>
      <c r="C323" s="3" t="str">
        <f>""</f>
        <v/>
      </c>
      <c r="D323" s="3" t="str">
        <f>""</f>
        <v/>
      </c>
    </row>
    <row r="324" spans="1:4" x14ac:dyDescent="0.25">
      <c r="A324" s="2" t="str">
        <f>""</f>
        <v/>
      </c>
      <c r="B324" s="3" t="str">
        <f>""</f>
        <v/>
      </c>
      <c r="C324" s="3" t="str">
        <f>""</f>
        <v/>
      </c>
      <c r="D324" s="3" t="str">
        <f>""</f>
        <v/>
      </c>
    </row>
    <row r="325" spans="1:4" x14ac:dyDescent="0.25">
      <c r="A325" s="2" t="str">
        <f>""</f>
        <v/>
      </c>
      <c r="B325" s="3" t="str">
        <f>""</f>
        <v/>
      </c>
      <c r="C325" s="3" t="str">
        <f>""</f>
        <v/>
      </c>
      <c r="D325" s="3" t="str">
        <f>""</f>
        <v/>
      </c>
    </row>
    <row r="326" spans="1:4" x14ac:dyDescent="0.25">
      <c r="A326" s="2" t="str">
        <f>""</f>
        <v/>
      </c>
      <c r="B326" s="3" t="str">
        <f>""</f>
        <v/>
      </c>
      <c r="C326" s="3" t="str">
        <f>""</f>
        <v/>
      </c>
      <c r="D326" s="3" t="str">
        <f>""</f>
        <v/>
      </c>
    </row>
    <row r="327" spans="1:4" x14ac:dyDescent="0.25">
      <c r="A327" s="2" t="str">
        <f>""</f>
        <v/>
      </c>
      <c r="B327" s="3" t="str">
        <f>""</f>
        <v/>
      </c>
      <c r="C327" s="3" t="str">
        <f>""</f>
        <v/>
      </c>
      <c r="D327" s="3" t="str">
        <f>""</f>
        <v/>
      </c>
    </row>
    <row r="328" spans="1:4" x14ac:dyDescent="0.25">
      <c r="A328" s="2" t="str">
        <f>""</f>
        <v/>
      </c>
      <c r="B328" s="3" t="str">
        <f>""</f>
        <v/>
      </c>
      <c r="C328" s="3" t="str">
        <f>""</f>
        <v/>
      </c>
      <c r="D328" s="3" t="str">
        <f>""</f>
        <v/>
      </c>
    </row>
    <row r="329" spans="1:4" x14ac:dyDescent="0.25">
      <c r="A329" s="2" t="str">
        <f>""</f>
        <v/>
      </c>
      <c r="B329" s="3" t="str">
        <f>""</f>
        <v/>
      </c>
      <c r="C329" s="3" t="str">
        <f>""</f>
        <v/>
      </c>
      <c r="D329" s="3" t="str">
        <f>""</f>
        <v/>
      </c>
    </row>
    <row r="330" spans="1:4" x14ac:dyDescent="0.25">
      <c r="A330" s="2" t="str">
        <f>""</f>
        <v/>
      </c>
      <c r="B330" s="3" t="str">
        <f>""</f>
        <v/>
      </c>
      <c r="C330" s="3" t="str">
        <f>""</f>
        <v/>
      </c>
      <c r="D330" s="3" t="str">
        <f>""</f>
        <v/>
      </c>
    </row>
    <row r="331" spans="1:4" x14ac:dyDescent="0.25">
      <c r="A331" s="2" t="str">
        <f>""</f>
        <v/>
      </c>
      <c r="B331" s="3" t="str">
        <f>""</f>
        <v/>
      </c>
      <c r="C331" s="3" t="str">
        <f>""</f>
        <v/>
      </c>
      <c r="D331" s="3" t="str">
        <f>""</f>
        <v/>
      </c>
    </row>
    <row r="332" spans="1:4" x14ac:dyDescent="0.25">
      <c r="A332" s="2" t="str">
        <f>""</f>
        <v/>
      </c>
      <c r="B332" s="3" t="str">
        <f>""</f>
        <v/>
      </c>
      <c r="C332" s="3" t="str">
        <f>""</f>
        <v/>
      </c>
      <c r="D332" s="3" t="str">
        <f>""</f>
        <v/>
      </c>
    </row>
    <row r="333" spans="1:4" x14ac:dyDescent="0.25">
      <c r="A333" s="2" t="str">
        <f>""</f>
        <v/>
      </c>
      <c r="B333" s="3" t="str">
        <f>""</f>
        <v/>
      </c>
      <c r="C333" s="3" t="str">
        <f>""</f>
        <v/>
      </c>
      <c r="D333" s="3" t="str">
        <f>""</f>
        <v/>
      </c>
    </row>
    <row r="334" spans="1:4" x14ac:dyDescent="0.25">
      <c r="A334" s="2" t="str">
        <f>""</f>
        <v/>
      </c>
      <c r="B334" s="3" t="str">
        <f>""</f>
        <v/>
      </c>
      <c r="C334" s="3" t="str">
        <f>""</f>
        <v/>
      </c>
      <c r="D334" s="3" t="str">
        <f>""</f>
        <v/>
      </c>
    </row>
    <row r="335" spans="1:4" x14ac:dyDescent="0.25">
      <c r="A335" s="2" t="str">
        <f>""</f>
        <v/>
      </c>
      <c r="B335" s="3" t="str">
        <f>""</f>
        <v/>
      </c>
      <c r="C335" s="3" t="str">
        <f>""</f>
        <v/>
      </c>
      <c r="D335" s="3" t="str">
        <f>""</f>
        <v/>
      </c>
    </row>
    <row r="336" spans="1:4" x14ac:dyDescent="0.25">
      <c r="A336" s="2" t="str">
        <f>""</f>
        <v/>
      </c>
      <c r="B336" s="3" t="str">
        <f>""</f>
        <v/>
      </c>
      <c r="C336" s="3" t="str">
        <f>""</f>
        <v/>
      </c>
      <c r="D336" s="3" t="str">
        <f>""</f>
        <v/>
      </c>
    </row>
    <row r="337" spans="1:4" x14ac:dyDescent="0.25">
      <c r="A337" s="2" t="str">
        <f>""</f>
        <v/>
      </c>
      <c r="B337" s="3" t="str">
        <f>""</f>
        <v/>
      </c>
      <c r="C337" s="3" t="str">
        <f>""</f>
        <v/>
      </c>
      <c r="D337" s="3" t="str">
        <f>""</f>
        <v/>
      </c>
    </row>
    <row r="338" spans="1:4" x14ac:dyDescent="0.25">
      <c r="A338" s="2" t="str">
        <f>""</f>
        <v/>
      </c>
      <c r="B338" s="3" t="str">
        <f>""</f>
        <v/>
      </c>
      <c r="C338" s="3" t="str">
        <f>""</f>
        <v/>
      </c>
      <c r="D338" s="3" t="str">
        <f>""</f>
        <v/>
      </c>
    </row>
    <row r="339" spans="1:4" x14ac:dyDescent="0.25">
      <c r="A339" s="2" t="str">
        <f>""</f>
        <v/>
      </c>
      <c r="B339" s="3" t="str">
        <f>""</f>
        <v/>
      </c>
      <c r="C339" s="3" t="str">
        <f>""</f>
        <v/>
      </c>
      <c r="D339" s="3" t="str">
        <f>""</f>
        <v/>
      </c>
    </row>
    <row r="340" spans="1:4" x14ac:dyDescent="0.25">
      <c r="A340" s="2" t="str">
        <f>""</f>
        <v/>
      </c>
      <c r="B340" s="3" t="str">
        <f>""</f>
        <v/>
      </c>
      <c r="C340" s="3" t="str">
        <f>""</f>
        <v/>
      </c>
      <c r="D340" s="3" t="str">
        <f>""</f>
        <v/>
      </c>
    </row>
    <row r="341" spans="1:4" x14ac:dyDescent="0.25">
      <c r="A341" s="2" t="str">
        <f>""</f>
        <v/>
      </c>
      <c r="B341" s="3" t="str">
        <f>""</f>
        <v/>
      </c>
      <c r="C341" s="3" t="str">
        <f>""</f>
        <v/>
      </c>
      <c r="D341" s="3" t="str">
        <f>""</f>
        <v/>
      </c>
    </row>
    <row r="342" spans="1:4" x14ac:dyDescent="0.25">
      <c r="A342" s="2" t="str">
        <f>""</f>
        <v/>
      </c>
      <c r="B342" s="3" t="str">
        <f>""</f>
        <v/>
      </c>
      <c r="C342" s="3" t="str">
        <f>""</f>
        <v/>
      </c>
      <c r="D342" s="3" t="str">
        <f>""</f>
        <v/>
      </c>
    </row>
    <row r="343" spans="1:4" ht="15.75" thickBot="1" x14ac:dyDescent="0.3">
      <c r="A343" s="4" t="str">
        <f>"APURACAO DE RESULTADOS"</f>
        <v>APURACAO DE RESULTADOS</v>
      </c>
      <c r="B343" s="5" t="str">
        <f>""</f>
        <v/>
      </c>
      <c r="C343" s="5" t="str">
        <f>""</f>
        <v/>
      </c>
      <c r="D343" s="5" t="str">
        <f>""</f>
        <v/>
      </c>
    </row>
    <row r="344" spans="1:4" x14ac:dyDescent="0.25">
      <c r="A344" t="s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7"/>
  <sheetViews>
    <sheetView workbookViewId="0">
      <selection activeCell="E1" sqref="E1"/>
    </sheetView>
  </sheetViews>
  <sheetFormatPr defaultRowHeight="15" x14ac:dyDescent="0.25"/>
  <cols>
    <col min="1" max="1" width="71.5703125" bestFit="1" customWidth="1"/>
    <col min="2" max="2" width="14.5703125" bestFit="1" customWidth="1"/>
    <col min="3" max="3" width="14.28515625" bestFit="1" customWidth="1"/>
    <col min="4" max="4" width="14.5703125" bestFit="1" customWidth="1"/>
  </cols>
  <sheetData>
    <row r="1" spans="1:4" ht="19.5" thickBot="1" x14ac:dyDescent="0.35">
      <c r="A1" s="1" t="s">
        <v>6</v>
      </c>
      <c r="B1" s="1"/>
      <c r="C1" s="1"/>
      <c r="D1" s="1"/>
    </row>
    <row r="2" spans="1:4" ht="15.75" thickBot="1" x14ac:dyDescent="0.3">
      <c r="A2" s="8" t="s">
        <v>13</v>
      </c>
      <c r="B2" s="9" t="s">
        <v>14</v>
      </c>
      <c r="C2" s="9" t="s">
        <v>15</v>
      </c>
      <c r="D2" s="9" t="s">
        <v>16</v>
      </c>
    </row>
    <row r="3" spans="1:4" x14ac:dyDescent="0.25">
      <c r="A3" s="6" t="str">
        <f>"ATIVO"</f>
        <v>ATIVO</v>
      </c>
      <c r="B3" s="7" t="str">
        <f>""</f>
        <v/>
      </c>
      <c r="C3" s="7" t="str">
        <f>""</f>
        <v/>
      </c>
      <c r="D3" s="7" t="str">
        <f>""</f>
        <v/>
      </c>
    </row>
    <row r="4" spans="1:4" x14ac:dyDescent="0.25">
      <c r="A4" s="2" t="str">
        <f>"1.0.0.00.00- ATIVO"</f>
        <v>1.0.0.00.00- ATIVO</v>
      </c>
      <c r="B4" s="10">
        <v>34786599.619999997</v>
      </c>
      <c r="C4" s="10">
        <v>3276445.29</v>
      </c>
      <c r="D4" s="10">
        <v>38063044.909999996</v>
      </c>
    </row>
    <row r="5" spans="1:4" x14ac:dyDescent="0.25">
      <c r="A5" s="2" t="str">
        <f>"1.1.0.00.00- ATIVO CIRCULANTE"</f>
        <v>1.1.0.00.00- ATIVO CIRCULANTE</v>
      </c>
      <c r="B5" s="10">
        <v>24072279.760000002</v>
      </c>
      <c r="C5" s="10">
        <v>2988463.61</v>
      </c>
      <c r="D5" s="10">
        <v>27060743.370000001</v>
      </c>
    </row>
    <row r="6" spans="1:4" x14ac:dyDescent="0.25">
      <c r="A6" s="2" t="str">
        <f>"1.1.1.00.00- DISPONIVEL"</f>
        <v>1.1.1.00.00- DISPONIVEL</v>
      </c>
      <c r="B6" s="10">
        <v>11417049.439999999</v>
      </c>
      <c r="C6" s="10">
        <v>938311.74</v>
      </c>
      <c r="D6" s="10">
        <v>12355361.18</v>
      </c>
    </row>
    <row r="7" spans="1:4" x14ac:dyDescent="0.25">
      <c r="A7" s="2" t="str">
        <f>"1.1.1.02.00- BANCOS C/MOVIMENTO"</f>
        <v>1.1.1.02.00- BANCOS C/MOVIMENTO</v>
      </c>
      <c r="B7" s="10">
        <v>606686.76</v>
      </c>
      <c r="C7" s="10">
        <v>-292946.51</v>
      </c>
      <c r="D7" s="10">
        <v>313740.25</v>
      </c>
    </row>
    <row r="8" spans="1:4" x14ac:dyDescent="0.25">
      <c r="A8" s="2" t="str">
        <f>"1.1.1.02.11- Banco do Brasil S/A - 720.000-5"</f>
        <v>1.1.1.02.11- Banco do Brasil S/A - 720.000-5</v>
      </c>
      <c r="B8" s="10">
        <v>182.92</v>
      </c>
      <c r="C8" s="10">
        <v>41.2</v>
      </c>
      <c r="D8" s="10">
        <v>224.12</v>
      </c>
    </row>
    <row r="9" spans="1:4" x14ac:dyDescent="0.25">
      <c r="A9" s="2" t="str">
        <f>"1.1.1.02.12- Banco do Brasil S/A - 720.001-3"</f>
        <v>1.1.1.02.12- Banco do Brasil S/A - 720.001-3</v>
      </c>
      <c r="B9" s="10">
        <v>77245.22</v>
      </c>
      <c r="C9" s="10">
        <v>-70029.22</v>
      </c>
      <c r="D9" s="10">
        <v>7216</v>
      </c>
    </row>
    <row r="10" spans="1:4" x14ac:dyDescent="0.25">
      <c r="A10" s="2" t="str">
        <f>"1.1.1.02.15- Banco do Brasil S/A - 7.218-4"</f>
        <v>1.1.1.02.15- Banco do Brasil S/A - 7.218-4</v>
      </c>
      <c r="B10" s="10">
        <v>0</v>
      </c>
      <c r="C10" s="10">
        <v>142.5</v>
      </c>
      <c r="D10" s="10">
        <v>142.5</v>
      </c>
    </row>
    <row r="11" spans="1:4" x14ac:dyDescent="0.25">
      <c r="A11" s="2" t="str">
        <f>"1.1.1.02.19- Caixa Econ. Federal-C/C 1223-6"</f>
        <v>1.1.1.02.19- Caixa Econ. Federal-C/C 1223-6</v>
      </c>
      <c r="B11" s="10">
        <v>15272.42</v>
      </c>
      <c r="C11" s="10">
        <v>-30</v>
      </c>
      <c r="D11" s="10">
        <v>15242.42</v>
      </c>
    </row>
    <row r="12" spans="1:4" x14ac:dyDescent="0.25">
      <c r="A12" s="2" t="str">
        <f>"1.1.1.02.29- Caixa Econômica Federal - 3289-3 Arrecad"</f>
        <v>1.1.1.02.29- Caixa Econômica Federal - 3289-3 Arrecad</v>
      </c>
      <c r="B12" s="10">
        <v>108982.99</v>
      </c>
      <c r="C12" s="10">
        <v>-103137.04</v>
      </c>
      <c r="D12" s="10">
        <v>5845.95</v>
      </c>
    </row>
    <row r="13" spans="1:4" x14ac:dyDescent="0.25">
      <c r="A13" s="2" t="str">
        <f>"1.1.1.02.30- Caixa Econômica Federal - 3291-5 Movimen"</f>
        <v>1.1.1.02.30- Caixa Econômica Federal - 3291-5 Movimen</v>
      </c>
      <c r="B13" s="10">
        <v>-481.25</v>
      </c>
      <c r="C13" s="10">
        <v>481.25</v>
      </c>
      <c r="D13" s="10">
        <v>0</v>
      </c>
    </row>
    <row r="14" spans="1:4" x14ac:dyDescent="0.25">
      <c r="A14" s="2" t="str">
        <f>"1.1.1.02.32- Caixa Econômica Federal - 3292-3 Leilão"</f>
        <v>1.1.1.02.32- Caixa Econômica Federal - 3292-3 Leilão</v>
      </c>
      <c r="B14" s="10">
        <v>80</v>
      </c>
      <c r="C14" s="10">
        <v>0</v>
      </c>
      <c r="D14" s="10">
        <v>80</v>
      </c>
    </row>
    <row r="15" spans="1:4" x14ac:dyDescent="0.25">
      <c r="A15" s="2" t="str">
        <f>"1.1.1.02.33- Caixa Econômica Federal - 3295-8Leilão13"</f>
        <v>1.1.1.02.33- Caixa Econômica Federal - 3295-8Leilão13</v>
      </c>
      <c r="B15" s="10">
        <v>80</v>
      </c>
      <c r="C15" s="10">
        <v>0</v>
      </c>
      <c r="D15" s="10">
        <v>80</v>
      </c>
    </row>
    <row r="16" spans="1:4" x14ac:dyDescent="0.25">
      <c r="A16" s="2" t="str">
        <f>"1.1.1.02.37- Caixa Econômica Federal - 3299-0Leilão16"</f>
        <v>1.1.1.02.37- Caixa Econômica Federal - 3299-0Leilão16</v>
      </c>
      <c r="B16" s="10">
        <v>80</v>
      </c>
      <c r="C16" s="10">
        <v>0</v>
      </c>
      <c r="D16" s="10">
        <v>80</v>
      </c>
    </row>
    <row r="17" spans="1:4" x14ac:dyDescent="0.25">
      <c r="A17" s="2" t="str">
        <f>"1.1.1.02.39- Caixa Econômica Federal - 3301-6 Mídia"</f>
        <v>1.1.1.02.39- Caixa Econômica Federal - 3301-6 Mídia</v>
      </c>
      <c r="B17" s="10">
        <v>9258.2099999999991</v>
      </c>
      <c r="C17" s="10">
        <v>4174.3</v>
      </c>
      <c r="D17" s="10">
        <v>13432.51</v>
      </c>
    </row>
    <row r="18" spans="1:4" x14ac:dyDescent="0.25">
      <c r="A18" s="2" t="str">
        <f>"1.1.1.02.40- Caixa Econômica Federal - 3302-4 Mídia"</f>
        <v>1.1.1.02.40- Caixa Econômica Federal - 3302-4 Mídia</v>
      </c>
      <c r="B18" s="10">
        <v>57002.47</v>
      </c>
      <c r="C18" s="10">
        <v>-8910.92</v>
      </c>
      <c r="D18" s="10">
        <v>48091.55</v>
      </c>
    </row>
    <row r="19" spans="1:4" x14ac:dyDescent="0.25">
      <c r="A19" s="2" t="str">
        <f>"1.1.1.02.41- Caixa Econômica Federal - 3303-2Rotativo"</f>
        <v>1.1.1.02.41- Caixa Econômica Federal - 3303-2Rotativo</v>
      </c>
      <c r="B19" s="10">
        <v>338983.78</v>
      </c>
      <c r="C19" s="10">
        <v>-115678.58</v>
      </c>
      <c r="D19" s="10">
        <v>223305.2</v>
      </c>
    </row>
    <row r="20" spans="1:4" x14ac:dyDescent="0.25">
      <c r="A20" s="2" t="str">
        <f>"1.1.1.03.00- APLICACOES FINANCEIRAS"</f>
        <v>1.1.1.03.00- APLICACOES FINANCEIRAS</v>
      </c>
      <c r="B20" s="10">
        <v>7160344.71</v>
      </c>
      <c r="C20" s="10">
        <v>1619361.51</v>
      </c>
      <c r="D20" s="10">
        <v>8779706.2200000007</v>
      </c>
    </row>
    <row r="21" spans="1:4" x14ac:dyDescent="0.25">
      <c r="A21" s="2" t="str">
        <f>"1.1.1.03.23- Caixa Econômica Federal - 3291-5"</f>
        <v>1.1.1.03.23- Caixa Econômica Federal - 3291-5</v>
      </c>
      <c r="B21" s="10">
        <v>6062359.6699999999</v>
      </c>
      <c r="C21" s="10">
        <v>1611639.29</v>
      </c>
      <c r="D21" s="10">
        <v>7673998.96</v>
      </c>
    </row>
    <row r="22" spans="1:4" x14ac:dyDescent="0.25">
      <c r="A22" s="2" t="str">
        <f>"1.1.1.03.25- Caixa Econômica Federal - 3292-3 Leilão"</f>
        <v>1.1.1.03.25- Caixa Econômica Federal - 3292-3 Leilão</v>
      </c>
      <c r="B22" s="10">
        <v>69393.27</v>
      </c>
      <c r="C22" s="10">
        <v>561.13</v>
      </c>
      <c r="D22" s="10">
        <v>69954.399999999994</v>
      </c>
    </row>
    <row r="23" spans="1:4" x14ac:dyDescent="0.25">
      <c r="A23" s="2" t="str">
        <f>"1.1.1.03.26- Caixa Econômica Federal - 3295-8Leilão13"</f>
        <v>1.1.1.03.26- Caixa Econômica Federal - 3295-8Leilão13</v>
      </c>
      <c r="B23" s="10">
        <v>192866.96</v>
      </c>
      <c r="C23" s="10">
        <v>1559.56</v>
      </c>
      <c r="D23" s="10">
        <v>194426.52</v>
      </c>
    </row>
    <row r="24" spans="1:4" x14ac:dyDescent="0.25">
      <c r="A24" s="2" t="str">
        <f>"1.1.1.03.29- Caixa Econômica Federal - 3298-2Leilão15"</f>
        <v>1.1.1.03.29- Caixa Econômica Federal - 3298-2Leilão15</v>
      </c>
      <c r="B24" s="10">
        <v>95512.65</v>
      </c>
      <c r="C24" s="10">
        <v>700.21</v>
      </c>
      <c r="D24" s="10">
        <v>96212.86</v>
      </c>
    </row>
    <row r="25" spans="1:4" x14ac:dyDescent="0.25">
      <c r="A25" s="2" t="str">
        <f>"1.1.1.03.30- Caixa Econômica Federal - 3299-0Leilão16"</f>
        <v>1.1.1.03.30- Caixa Econômica Federal - 3299-0Leilão16</v>
      </c>
      <c r="B25" s="10">
        <v>119538.01</v>
      </c>
      <c r="C25" s="10">
        <v>966.61</v>
      </c>
      <c r="D25" s="10">
        <v>120504.62</v>
      </c>
    </row>
    <row r="26" spans="1:4" x14ac:dyDescent="0.25">
      <c r="A26" s="2" t="str">
        <f>"1.1.1.03.31- Caixa Econômica Federal - 3300-8Leilão16"</f>
        <v>1.1.1.03.31- Caixa Econômica Federal - 3300-8Leilão16</v>
      </c>
      <c r="B26" s="10">
        <v>43153.98</v>
      </c>
      <c r="C26" s="10">
        <v>316.37</v>
      </c>
      <c r="D26" s="10">
        <v>43470.35</v>
      </c>
    </row>
    <row r="27" spans="1:4" x14ac:dyDescent="0.25">
      <c r="A27" s="2" t="str">
        <f>"1.1.1.03.32- Caixa Econômica - 3301-6 Mídia"</f>
        <v>1.1.1.03.32- Caixa Econômica - 3301-6 Mídia</v>
      </c>
      <c r="B27" s="10">
        <v>70513.179999999993</v>
      </c>
      <c r="C27" s="10">
        <v>539.05999999999995</v>
      </c>
      <c r="D27" s="10">
        <v>71052.240000000005</v>
      </c>
    </row>
    <row r="28" spans="1:4" x14ac:dyDescent="0.25">
      <c r="A28" s="2" t="str">
        <f>"1.1.1.03.35- Caixa Econômica - 3304-0Caução"</f>
        <v>1.1.1.03.35- Caixa Econômica - 3304-0Caução</v>
      </c>
      <c r="B28" s="10">
        <v>406735.49</v>
      </c>
      <c r="C28" s="10">
        <v>3032.57</v>
      </c>
      <c r="D28" s="10">
        <v>409768.06</v>
      </c>
    </row>
    <row r="29" spans="1:4" x14ac:dyDescent="0.25">
      <c r="A29" s="2" t="str">
        <f>"1.1.1.03.36- Caixa Econômica - 3305-9Sucumb."</f>
        <v>1.1.1.03.36- Caixa Econômica - 3305-9Sucumb.</v>
      </c>
      <c r="B29" s="10">
        <v>4458.8999999999996</v>
      </c>
      <c r="C29" s="10">
        <v>31.92</v>
      </c>
      <c r="D29" s="10">
        <v>4490.82</v>
      </c>
    </row>
    <row r="30" spans="1:4" x14ac:dyDescent="0.25">
      <c r="A30" s="2" t="str">
        <f>"1.1.1.03.38- Caixa Econômica - 3308-3Leilão"</f>
        <v>1.1.1.03.38- Caixa Econômica - 3308-3Leilão</v>
      </c>
      <c r="B30" s="10">
        <v>2066.9</v>
      </c>
      <c r="C30" s="10">
        <v>14.79</v>
      </c>
      <c r="D30" s="10">
        <v>2081.69</v>
      </c>
    </row>
    <row r="31" spans="1:4" x14ac:dyDescent="0.25">
      <c r="A31" s="2" t="str">
        <f>"1.1.1.03.41- Caixa Econômica - 531-0 Aci moto poupanç"</f>
        <v>1.1.1.03.41- Caixa Econômica - 531-0 Aci moto poupanç</v>
      </c>
      <c r="B31" s="10">
        <v>4262.41</v>
      </c>
      <c r="C31" s="10">
        <v>0</v>
      </c>
      <c r="D31" s="10">
        <v>4262.41</v>
      </c>
    </row>
    <row r="32" spans="1:4" x14ac:dyDescent="0.25">
      <c r="A32" s="2" t="str">
        <f>"1.1.1.03.42- Caixa Econômica - 532-9 Acid Ped Poupanç"</f>
        <v>1.1.1.03.42- Caixa Econômica - 532-9 Acid Ped Poupanç</v>
      </c>
      <c r="B32" s="10">
        <v>3669.56</v>
      </c>
      <c r="C32" s="10">
        <v>0</v>
      </c>
      <c r="D32" s="10">
        <v>3669.56</v>
      </c>
    </row>
    <row r="33" spans="1:4" x14ac:dyDescent="0.25">
      <c r="A33" s="2" t="str">
        <f>"1.1.1.03.43- Caixa Econômica - 534-5 Codemig Poupança"</f>
        <v>1.1.1.03.43- Caixa Econômica - 534-5 Codemig Poupança</v>
      </c>
      <c r="B33" s="10">
        <v>24802.39</v>
      </c>
      <c r="C33" s="10">
        <v>0</v>
      </c>
      <c r="D33" s="10">
        <v>24802.39</v>
      </c>
    </row>
    <row r="34" spans="1:4" x14ac:dyDescent="0.25">
      <c r="A34" s="2" t="str">
        <f>"1.1.1.03.44- Caixa Econômica - 535-3 Turblog Poupança"</f>
        <v>1.1.1.03.44- Caixa Econômica - 535-3 Turblog Poupança</v>
      </c>
      <c r="B34" s="10">
        <v>61011.34</v>
      </c>
      <c r="C34" s="10">
        <v>0</v>
      </c>
      <c r="D34" s="10">
        <v>61011.34</v>
      </c>
    </row>
    <row r="35" spans="1:4" x14ac:dyDescent="0.25">
      <c r="A35" s="2" t="str">
        <f>"1.1.1.04.00- BANCOS C/VINCULADA-PAMEH"</f>
        <v>1.1.1.04.00- BANCOS C/VINCULADA-PAMEH</v>
      </c>
      <c r="B35" s="10">
        <v>3650017.97</v>
      </c>
      <c r="C35" s="10">
        <v>-388103.26</v>
      </c>
      <c r="D35" s="10">
        <v>3261914.71</v>
      </c>
    </row>
    <row r="36" spans="1:4" x14ac:dyDescent="0.25">
      <c r="A36" s="2" t="str">
        <f>"1.1.1.04.04- Mercantil do Brasil 02733249-2"</f>
        <v>1.1.1.04.04- Mercantil do Brasil 02733249-2</v>
      </c>
      <c r="B36" s="10">
        <v>207.81</v>
      </c>
      <c r="C36" s="10">
        <v>0</v>
      </c>
      <c r="D36" s="10">
        <v>207.81</v>
      </c>
    </row>
    <row r="37" spans="1:4" x14ac:dyDescent="0.25">
      <c r="A37" s="2" t="str">
        <f>"1.1.1.04.07- Caixa Econômica Federal - 3294-0"</f>
        <v>1.1.1.04.07- Caixa Econômica Federal - 3294-0</v>
      </c>
      <c r="B37" s="10">
        <v>0</v>
      </c>
      <c r="C37" s="10">
        <v>74245.41</v>
      </c>
      <c r="D37" s="10">
        <v>74245.41</v>
      </c>
    </row>
    <row r="38" spans="1:4" x14ac:dyDescent="0.25">
      <c r="A38" s="2" t="str">
        <f>"1.1.1.04.08- Caixa Econômica Federal - 3294-0 Aplic."</f>
        <v>1.1.1.04.08- Caixa Econômica Federal - 3294-0 Aplic.</v>
      </c>
      <c r="B38" s="10">
        <v>3649810.16</v>
      </c>
      <c r="C38" s="10">
        <v>-462348.67</v>
      </c>
      <c r="D38" s="10">
        <v>3187461.49</v>
      </c>
    </row>
    <row r="39" spans="1:4" x14ac:dyDescent="0.25">
      <c r="A39" s="2" t="str">
        <f>"1.1.2.00.00- REALIZAVEL A CURTO PRAZO"</f>
        <v>1.1.2.00.00- REALIZAVEL A CURTO PRAZO</v>
      </c>
      <c r="B39" s="10">
        <v>12655230.32</v>
      </c>
      <c r="C39" s="10">
        <v>2050151.87</v>
      </c>
      <c r="D39" s="10">
        <v>14705382.189999999</v>
      </c>
    </row>
    <row r="40" spans="1:4" x14ac:dyDescent="0.25">
      <c r="A40" s="2" t="str">
        <f>"1.1.2.01.00- CONTAS A RECEBER"</f>
        <v>1.1.2.01.00- CONTAS A RECEBER</v>
      </c>
      <c r="B40" s="10">
        <v>7854177.4100000001</v>
      </c>
      <c r="C40" s="10">
        <v>278278.02</v>
      </c>
      <c r="D40" s="10">
        <v>8132455.4299999997</v>
      </c>
    </row>
    <row r="41" spans="1:4" x14ac:dyDescent="0.25">
      <c r="A41" s="2" t="str">
        <f>"1.1.2.01.89- Multas Transporte Coletivo"</f>
        <v>1.1.2.01.89- Multas Transporte Coletivo</v>
      </c>
      <c r="B41" s="10">
        <v>9215317.3699999992</v>
      </c>
      <c r="C41" s="10">
        <v>309197.8</v>
      </c>
      <c r="D41" s="10">
        <v>9524515.1699999999</v>
      </c>
    </row>
    <row r="42" spans="1:4" x14ac:dyDescent="0.25">
      <c r="A42" s="2" t="str">
        <f>"1.1.2.01.94- Midia Onibus a Receber"</f>
        <v>1.1.2.01.94- Midia Onibus a Receber</v>
      </c>
      <c r="B42" s="10">
        <v>786491.64</v>
      </c>
      <c r="C42" s="10">
        <v>0</v>
      </c>
      <c r="D42" s="10">
        <v>786491.64</v>
      </c>
    </row>
    <row r="43" spans="1:4" x14ac:dyDescent="0.25">
      <c r="A43" s="2" t="str">
        <f>"1.1.2.01.99- (-) Provisao para Perdas"</f>
        <v>1.1.2.01.99- (-) Provisao para Perdas</v>
      </c>
      <c r="B43" s="10">
        <v>-2147631.6</v>
      </c>
      <c r="C43" s="10">
        <v>-30919.78</v>
      </c>
      <c r="D43" s="10">
        <v>-2178551.38</v>
      </c>
    </row>
    <row r="44" spans="1:4" x14ac:dyDescent="0.25">
      <c r="A44" s="2" t="str">
        <f>"1.1.2.06.00- ADIANTAMENTO A EMPREGADOS"</f>
        <v>1.1.2.06.00- ADIANTAMENTO A EMPREGADOS</v>
      </c>
      <c r="B44" s="10">
        <v>1480954.97</v>
      </c>
      <c r="C44" s="10">
        <v>1674503.01</v>
      </c>
      <c r="D44" s="10">
        <v>3155457.98</v>
      </c>
    </row>
    <row r="45" spans="1:4" x14ac:dyDescent="0.25">
      <c r="A45" s="2" t="str">
        <f>"1.1.2.06.01- Adiantamento de Ferias"</f>
        <v>1.1.2.06.01- Adiantamento de Ferias</v>
      </c>
      <c r="B45" s="10">
        <v>516025.59</v>
      </c>
      <c r="C45" s="10">
        <v>180491.46</v>
      </c>
      <c r="D45" s="10">
        <v>696517.05</v>
      </c>
    </row>
    <row r="46" spans="1:4" x14ac:dyDescent="0.25">
      <c r="A46" s="2" t="str">
        <f>"1.1.2.06.02- Adiantamento de 13. Salario"</f>
        <v>1.1.2.06.02- Adiantamento de 13. Salario</v>
      </c>
      <c r="B46" s="10">
        <v>773195.57</v>
      </c>
      <c r="C46" s="10">
        <v>1498071.01</v>
      </c>
      <c r="D46" s="10">
        <v>2271266.58</v>
      </c>
    </row>
    <row r="47" spans="1:4" x14ac:dyDescent="0.25">
      <c r="A47" s="2" t="str">
        <f>"1.1.2.06.03- Adiant. de Salario/Parc. Ferias"</f>
        <v>1.1.2.06.03- Adiant. de Salario/Parc. Ferias</v>
      </c>
      <c r="B47" s="10">
        <v>86817.15</v>
      </c>
      <c r="C47" s="10">
        <v>-5882.36</v>
      </c>
      <c r="D47" s="10">
        <v>80934.789999999994</v>
      </c>
    </row>
    <row r="48" spans="1:4" x14ac:dyDescent="0.25">
      <c r="A48" s="2" t="str">
        <f>"1.1.2.06.06- Diferencas Salariais a Apropriar"</f>
        <v>1.1.2.06.06- Diferencas Salariais a Apropriar</v>
      </c>
      <c r="B48" s="10">
        <v>7335.29</v>
      </c>
      <c r="C48" s="10">
        <v>0</v>
      </c>
      <c r="D48" s="10">
        <v>7335.29</v>
      </c>
    </row>
    <row r="49" spans="1:4" x14ac:dyDescent="0.25">
      <c r="A49" s="2" t="str">
        <f>"1.1.2.06.07- Adiantamento Pensao s/ Ferias"</f>
        <v>1.1.2.06.07- Adiantamento Pensao s/ Ferias</v>
      </c>
      <c r="B49" s="10">
        <v>97581.37</v>
      </c>
      <c r="C49" s="10">
        <v>1822.9</v>
      </c>
      <c r="D49" s="10">
        <v>99404.27</v>
      </c>
    </row>
    <row r="50" spans="1:4" x14ac:dyDescent="0.25">
      <c r="A50" s="2" t="str">
        <f>"1.1.2.08.00- ALMOXARIFADO"</f>
        <v>1.1.2.08.00- ALMOXARIFADO</v>
      </c>
      <c r="B50" s="10">
        <v>313921.58</v>
      </c>
      <c r="C50" s="10">
        <v>42792.14</v>
      </c>
      <c r="D50" s="10">
        <v>356713.72</v>
      </c>
    </row>
    <row r="51" spans="1:4" x14ac:dyDescent="0.25">
      <c r="A51" s="2" t="str">
        <f>"1.1.2.08.01- Material em Estoque"</f>
        <v>1.1.2.08.01- Material em Estoque</v>
      </c>
      <c r="B51" s="10">
        <v>313921.58</v>
      </c>
      <c r="C51" s="10">
        <v>42792.14</v>
      </c>
      <c r="D51" s="10">
        <v>356713.72</v>
      </c>
    </row>
    <row r="52" spans="1:4" x14ac:dyDescent="0.25">
      <c r="A52" s="2" t="str">
        <f>"1.1.2.10.00- IMPOSTOS E CONTRIB.A RECUPERAR"</f>
        <v>1.1.2.10.00- IMPOSTOS E CONTRIB.A RECUPERAR</v>
      </c>
      <c r="B52" s="10">
        <v>1816247.11</v>
      </c>
      <c r="C52" s="10">
        <v>-14690.19</v>
      </c>
      <c r="D52" s="10">
        <v>1801556.92</v>
      </c>
    </row>
    <row r="53" spans="1:4" x14ac:dyDescent="0.25">
      <c r="A53" s="2" t="str">
        <f>"1.1.2.10.01- IR s/Aplicacao Financeira"</f>
        <v>1.1.2.10.01- IR s/Aplicacao Financeira</v>
      </c>
      <c r="B53" s="10">
        <v>420183.42</v>
      </c>
      <c r="C53" s="10">
        <v>1172.47</v>
      </c>
      <c r="D53" s="10">
        <v>421355.89</v>
      </c>
    </row>
    <row r="54" spans="1:4" x14ac:dyDescent="0.25">
      <c r="A54" s="2" t="str">
        <f>"1.1.2.10.08- IRRF a Compensar"</f>
        <v>1.1.2.10.08- IRRF a Compensar</v>
      </c>
      <c r="B54" s="10">
        <v>1454.99</v>
      </c>
      <c r="C54" s="10">
        <v>0</v>
      </c>
      <c r="D54" s="10">
        <v>1454.99</v>
      </c>
    </row>
    <row r="55" spans="1:4" x14ac:dyDescent="0.25">
      <c r="A55" s="2" t="str">
        <f>"1.1.2.10.10- INSS a Recuperar"</f>
        <v>1.1.2.10.10- INSS a Recuperar</v>
      </c>
      <c r="B55" s="10">
        <v>15948.99</v>
      </c>
      <c r="C55" s="10">
        <v>-15948.99</v>
      </c>
      <c r="D55" s="10">
        <v>0</v>
      </c>
    </row>
    <row r="56" spans="1:4" x14ac:dyDescent="0.25">
      <c r="A56" s="2" t="str">
        <f>"1.1.2.10.15- Cofins a Compensar"</f>
        <v>1.1.2.10.15- Cofins a Compensar</v>
      </c>
      <c r="B56" s="10">
        <v>1039251.06</v>
      </c>
      <c r="C56" s="10">
        <v>-0.01</v>
      </c>
      <c r="D56" s="10">
        <v>1039251.05</v>
      </c>
    </row>
    <row r="57" spans="1:4" x14ac:dyDescent="0.25">
      <c r="A57" s="2" t="str">
        <f>"1.1.2.10.16- PIS a Compensar"</f>
        <v>1.1.2.10.16- PIS a Compensar</v>
      </c>
      <c r="B57" s="10">
        <v>224393.88</v>
      </c>
      <c r="C57" s="10">
        <v>0</v>
      </c>
      <c r="D57" s="10">
        <v>224393.88</v>
      </c>
    </row>
    <row r="58" spans="1:4" x14ac:dyDescent="0.25">
      <c r="A58" s="2" t="str">
        <f>"1.1.2.10.20- V.M.A PIS a Recuperar"</f>
        <v>1.1.2.10.20- V.M.A PIS a Recuperar</v>
      </c>
      <c r="B58" s="10">
        <v>1098.5899999999999</v>
      </c>
      <c r="C58" s="10">
        <v>47.28</v>
      </c>
      <c r="D58" s="10">
        <v>1145.8699999999999</v>
      </c>
    </row>
    <row r="59" spans="1:4" x14ac:dyDescent="0.25">
      <c r="A59" s="2" t="str">
        <f>"1.1.2.10.21- V.M.A IRRF a Compensar"</f>
        <v>1.1.2.10.21- V.M.A IRRF a Compensar</v>
      </c>
      <c r="B59" s="10">
        <v>409.75</v>
      </c>
      <c r="C59" s="10">
        <v>11.77</v>
      </c>
      <c r="D59" s="10">
        <v>421.52</v>
      </c>
    </row>
    <row r="60" spans="1:4" x14ac:dyDescent="0.25">
      <c r="A60" s="2" t="str">
        <f>"1.1.2.10.22- V.M.A COFINS a Compensar"</f>
        <v>1.1.2.10.22- V.M.A COFINS a Compensar</v>
      </c>
      <c r="B60" s="10">
        <v>5242.66</v>
      </c>
      <c r="C60" s="10">
        <v>27.29</v>
      </c>
      <c r="D60" s="10">
        <v>5269.95</v>
      </c>
    </row>
    <row r="61" spans="1:4" x14ac:dyDescent="0.25">
      <c r="A61" s="2" t="str">
        <f>"1.1.2.10.25- INSS a recuperar segurados"</f>
        <v>1.1.2.10.25- INSS a recuperar segurados</v>
      </c>
      <c r="B61" s="10">
        <v>108263.77</v>
      </c>
      <c r="C61" s="10">
        <v>0</v>
      </c>
      <c r="D61" s="10">
        <v>108263.77</v>
      </c>
    </row>
    <row r="62" spans="1:4" x14ac:dyDescent="0.25">
      <c r="A62" s="2" t="str">
        <f>"1.1.2.11.00- DESPESAS ANTECIPADAS"</f>
        <v>1.1.2.11.00- DESPESAS ANTECIPADAS</v>
      </c>
      <c r="B62" s="10">
        <v>6984.96</v>
      </c>
      <c r="C62" s="10">
        <v>-709.62</v>
      </c>
      <c r="D62" s="10">
        <v>6275.34</v>
      </c>
    </row>
    <row r="63" spans="1:4" x14ac:dyDescent="0.25">
      <c r="A63" s="2" t="str">
        <f>"1.1.2.11.01- Premios de Seguros a Vencer"</f>
        <v>1.1.2.11.01- Premios de Seguros a Vencer</v>
      </c>
      <c r="B63" s="10">
        <v>6984.96</v>
      </c>
      <c r="C63" s="10">
        <v>-709.62</v>
      </c>
      <c r="D63" s="10">
        <v>6275.34</v>
      </c>
    </row>
    <row r="64" spans="1:4" x14ac:dyDescent="0.25">
      <c r="A64" s="2" t="str">
        <f>"1.1.2.12.00- VALORES VINC.A RECEBER-PAMEH"</f>
        <v>1.1.2.12.00- VALORES VINC.A RECEBER-PAMEH</v>
      </c>
      <c r="B64" s="10">
        <v>638291.66</v>
      </c>
      <c r="C64" s="10">
        <v>58969.77</v>
      </c>
      <c r="D64" s="10">
        <v>697261.43</v>
      </c>
    </row>
    <row r="65" spans="1:4" x14ac:dyDescent="0.25">
      <c r="A65" s="2" t="str">
        <f>"1.1.2.12.01- Valores Vinculados-PAMEH"</f>
        <v>1.1.2.12.01- Valores Vinculados-PAMEH</v>
      </c>
      <c r="B65" s="10">
        <v>638291.66</v>
      </c>
      <c r="C65" s="10">
        <v>58969.77</v>
      </c>
      <c r="D65" s="10">
        <v>697261.43</v>
      </c>
    </row>
    <row r="66" spans="1:4" x14ac:dyDescent="0.25">
      <c r="A66" s="2" t="str">
        <f>"1.1.2.14.00- CONTAS TRANSITORIAS - GRUPO ATIVO"</f>
        <v>1.1.2.14.00- CONTAS TRANSITORIAS - GRUPO ATIVO</v>
      </c>
      <c r="B66" s="10">
        <v>535450.57999999996</v>
      </c>
      <c r="C66" s="10">
        <v>-12350.31</v>
      </c>
      <c r="D66" s="10">
        <v>523100.27</v>
      </c>
    </row>
    <row r="67" spans="1:4" x14ac:dyDescent="0.25">
      <c r="A67" s="2" t="str">
        <f>"1.1.2.14.05- Transitoria Folha de Pagamento"</f>
        <v>1.1.2.14.05- Transitoria Folha de Pagamento</v>
      </c>
      <c r="B67" s="10">
        <v>535450.57999999996</v>
      </c>
      <c r="C67" s="10">
        <v>-12350.31</v>
      </c>
      <c r="D67" s="10">
        <v>523100.27</v>
      </c>
    </row>
    <row r="68" spans="1:4" x14ac:dyDescent="0.25">
      <c r="A68" s="2" t="str">
        <f>"1.1.2.15.00- CARNE ESTACIONAMENTO ROTATIVO"</f>
        <v>1.1.2.15.00- CARNE ESTACIONAMENTO ROTATIVO</v>
      </c>
      <c r="B68" s="10">
        <v>9202.0499999999993</v>
      </c>
      <c r="C68" s="10">
        <v>23359.05</v>
      </c>
      <c r="D68" s="10">
        <v>32561.1</v>
      </c>
    </row>
    <row r="69" spans="1:4" x14ac:dyDescent="0.25">
      <c r="A69" s="2" t="str">
        <f>"1.1.2.15.01- Carne Rotativo"</f>
        <v>1.1.2.15.01- Carne Rotativo</v>
      </c>
      <c r="B69" s="10">
        <v>9202.0499999999993</v>
      </c>
      <c r="C69" s="10">
        <v>23359.05</v>
      </c>
      <c r="D69" s="10">
        <v>32561.1</v>
      </c>
    </row>
    <row r="70" spans="1:4" x14ac:dyDescent="0.25">
      <c r="A70" s="2" t="str">
        <f>"1.2.0.00.00- ATIVO NAO CIRCULANTE"</f>
        <v>1.2.0.00.00- ATIVO NAO CIRCULANTE</v>
      </c>
      <c r="B70" s="10">
        <v>10714319.859999999</v>
      </c>
      <c r="C70" s="10">
        <v>287981.68</v>
      </c>
      <c r="D70" s="10">
        <v>11002301.539999999</v>
      </c>
    </row>
    <row r="71" spans="1:4" x14ac:dyDescent="0.25">
      <c r="A71" s="2" t="str">
        <f>"1.2.1.00.00- REALIZAVEL A LONGO PRAZO"</f>
        <v>1.2.1.00.00- REALIZAVEL A LONGO PRAZO</v>
      </c>
      <c r="B71" s="10">
        <v>8527427.8200000003</v>
      </c>
      <c r="C71" s="10">
        <v>309933.36</v>
      </c>
      <c r="D71" s="10">
        <v>8837361.1799999997</v>
      </c>
    </row>
    <row r="72" spans="1:4" x14ac:dyDescent="0.25">
      <c r="A72" s="2" t="str">
        <f>"1.2.1.01.00- CREDITOS E VALORES A RECEBER"</f>
        <v>1.2.1.01.00- CREDITOS E VALORES A RECEBER</v>
      </c>
      <c r="B72" s="10">
        <v>8527427.8200000003</v>
      </c>
      <c r="C72" s="10">
        <v>309933.36</v>
      </c>
      <c r="D72" s="10">
        <v>8837361.1799999997</v>
      </c>
    </row>
    <row r="73" spans="1:4" x14ac:dyDescent="0.25">
      <c r="A73" s="2" t="str">
        <f>"1.2.1.01.01- Depositos Judiciais"</f>
        <v>1.2.1.01.01- Depositos Judiciais</v>
      </c>
      <c r="B73" s="10">
        <v>2692162.57</v>
      </c>
      <c r="C73" s="10">
        <v>309933.36</v>
      </c>
      <c r="D73" s="10">
        <v>3002095.93</v>
      </c>
    </row>
    <row r="74" spans="1:4" x14ac:dyDescent="0.25">
      <c r="A74" s="2" t="str">
        <f>"1.2.1.01.03- Depositos Judiciais de Terceiros"</f>
        <v>1.2.1.01.03- Depositos Judiciais de Terceiros</v>
      </c>
      <c r="B74" s="10">
        <v>357770.4</v>
      </c>
      <c r="C74" s="10">
        <v>0</v>
      </c>
      <c r="D74" s="10">
        <v>357770.4</v>
      </c>
    </row>
    <row r="75" spans="1:4" x14ac:dyDescent="0.25">
      <c r="A75" s="2" t="str">
        <f>"1.2.1.01.04- Convenio Prefeitura Betim"</f>
        <v>1.2.1.01.04- Convenio Prefeitura Betim</v>
      </c>
      <c r="B75" s="10">
        <v>21463.9</v>
      </c>
      <c r="C75" s="10">
        <v>0</v>
      </c>
      <c r="D75" s="10">
        <v>21463.9</v>
      </c>
    </row>
    <row r="76" spans="1:4" x14ac:dyDescent="0.25">
      <c r="A76" s="2" t="str">
        <f>"1.2.1.01.05- Convenio IPSEMG"</f>
        <v>1.2.1.01.05- Convenio IPSEMG</v>
      </c>
      <c r="B76" s="10">
        <v>21163.53</v>
      </c>
      <c r="C76" s="10">
        <v>0</v>
      </c>
      <c r="D76" s="10">
        <v>21163.53</v>
      </c>
    </row>
    <row r="77" spans="1:4" x14ac:dyDescent="0.25">
      <c r="A77" s="2" t="str">
        <f>"1.2.1.01.06- Multas Transporte Coletivo"</f>
        <v>1.2.1.01.06- Multas Transporte Coletivo</v>
      </c>
      <c r="B77" s="10">
        <v>5434867.4199999999</v>
      </c>
      <c r="C77" s="10">
        <v>0</v>
      </c>
      <c r="D77" s="10">
        <v>5434867.4199999999</v>
      </c>
    </row>
    <row r="78" spans="1:4" x14ac:dyDescent="0.25">
      <c r="A78" s="2" t="str">
        <f>"1.3.1.00.00- INVESTIMENTOS"</f>
        <v>1.3.1.00.00- INVESTIMENTOS</v>
      </c>
      <c r="B78" s="10">
        <v>26070</v>
      </c>
      <c r="C78" s="10">
        <v>0</v>
      </c>
      <c r="D78" s="10">
        <v>26070</v>
      </c>
    </row>
    <row r="79" spans="1:4" x14ac:dyDescent="0.25">
      <c r="A79" s="2" t="str">
        <f>"1.3.1.01.00- OUTROS INVESTIMENTOS"</f>
        <v>1.3.1.01.00- OUTROS INVESTIMENTOS</v>
      </c>
      <c r="B79" s="10">
        <v>26070</v>
      </c>
      <c r="C79" s="10">
        <v>0</v>
      </c>
      <c r="D79" s="10">
        <v>26070</v>
      </c>
    </row>
    <row r="80" spans="1:4" x14ac:dyDescent="0.25">
      <c r="A80" s="2" t="str">
        <f>"1.3.1.01.01- Obras de Arte"</f>
        <v>1.3.1.01.01- Obras de Arte</v>
      </c>
      <c r="B80" s="10">
        <v>25200</v>
      </c>
      <c r="C80" s="10">
        <v>0</v>
      </c>
      <c r="D80" s="10">
        <v>25200</v>
      </c>
    </row>
    <row r="81" spans="1:4" x14ac:dyDescent="0.25">
      <c r="A81" s="2" t="str">
        <f>"1.3.1.01.02- Participações Societárias - PBH ATIVOS"</f>
        <v>1.3.1.01.02- Participações Societárias - PBH ATIVOS</v>
      </c>
      <c r="B81" s="10">
        <v>870</v>
      </c>
      <c r="C81" s="10">
        <v>0</v>
      </c>
      <c r="D81" s="10">
        <v>870</v>
      </c>
    </row>
    <row r="82" spans="1:4" x14ac:dyDescent="0.25">
      <c r="A82" s="2" t="str">
        <f>"1.3.2.00.00- IMOBILIZADO"</f>
        <v>1.3.2.00.00- IMOBILIZADO</v>
      </c>
      <c r="B82" s="10">
        <v>6853388.3700000001</v>
      </c>
      <c r="C82" s="10">
        <v>0</v>
      </c>
      <c r="D82" s="10">
        <v>6853388.3700000001</v>
      </c>
    </row>
    <row r="83" spans="1:4" x14ac:dyDescent="0.25">
      <c r="A83" s="2" t="str">
        <f>"1.3.2.01.01- Maquinas e equipamentos"</f>
        <v>1.3.2.01.01- Maquinas e equipamentos</v>
      </c>
      <c r="B83" s="10">
        <v>226204.7</v>
      </c>
      <c r="C83" s="10">
        <v>0</v>
      </c>
      <c r="D83" s="10">
        <v>226204.7</v>
      </c>
    </row>
    <row r="84" spans="1:4" x14ac:dyDescent="0.25">
      <c r="A84" s="2" t="str">
        <f>"1.3.2.02.01- Ferramentas"</f>
        <v>1.3.2.02.01- Ferramentas</v>
      </c>
      <c r="B84" s="10">
        <v>9104.81</v>
      </c>
      <c r="C84" s="10">
        <v>0</v>
      </c>
      <c r="D84" s="10">
        <v>9104.81</v>
      </c>
    </row>
    <row r="85" spans="1:4" x14ac:dyDescent="0.25">
      <c r="A85" s="2" t="str">
        <f>"1.3.2.03.01- Equipamentos de comunicacao"</f>
        <v>1.3.2.03.01- Equipamentos de comunicacao</v>
      </c>
      <c r="B85" s="10">
        <v>191504.73</v>
      </c>
      <c r="C85" s="10">
        <v>0</v>
      </c>
      <c r="D85" s="10">
        <v>191504.73</v>
      </c>
    </row>
    <row r="86" spans="1:4" x14ac:dyDescent="0.25">
      <c r="A86" s="2" t="str">
        <f>"1.3.2.04.01- Instalacoes"</f>
        <v>1.3.2.04.01- Instalacoes</v>
      </c>
      <c r="B86" s="10">
        <v>85222.9</v>
      </c>
      <c r="C86" s="10">
        <v>0</v>
      </c>
      <c r="D86" s="10">
        <v>85222.9</v>
      </c>
    </row>
    <row r="87" spans="1:4" x14ac:dyDescent="0.25">
      <c r="A87" s="2" t="str">
        <f>"1.3.2.06.01- Moveis e utensilios"</f>
        <v>1.3.2.06.01- Moveis e utensilios</v>
      </c>
      <c r="B87" s="10">
        <v>538276.85</v>
      </c>
      <c r="C87" s="10">
        <v>0</v>
      </c>
      <c r="D87" s="10">
        <v>538276.85</v>
      </c>
    </row>
    <row r="88" spans="1:4" x14ac:dyDescent="0.25">
      <c r="A88" s="2" t="str">
        <f>"1.3.2.08.01- Instalacoes administrativas"</f>
        <v>1.3.2.08.01- Instalacoes administrativas</v>
      </c>
      <c r="B88" s="10">
        <v>99146.34</v>
      </c>
      <c r="C88" s="10">
        <v>0</v>
      </c>
      <c r="D88" s="10">
        <v>99146.34</v>
      </c>
    </row>
    <row r="89" spans="1:4" x14ac:dyDescent="0.25">
      <c r="A89" s="2" t="str">
        <f>"1.3.2.09.01- Aparelhos/equipamentos diversos"</f>
        <v>1.3.2.09.01- Aparelhos/equipamentos diversos</v>
      </c>
      <c r="B89" s="10">
        <v>603350.32999999996</v>
      </c>
      <c r="C89" s="10">
        <v>0</v>
      </c>
      <c r="D89" s="10">
        <v>603350.32999999996</v>
      </c>
    </row>
    <row r="90" spans="1:4" x14ac:dyDescent="0.25">
      <c r="A90" s="2" t="str">
        <f>"1.3.2.10.01- Equip. p/ processamento de dados"</f>
        <v>1.3.2.10.01- Equip. p/ processamento de dados</v>
      </c>
      <c r="B90" s="10">
        <v>696029.05</v>
      </c>
      <c r="C90" s="10">
        <v>0</v>
      </c>
      <c r="D90" s="10">
        <v>696029.05</v>
      </c>
    </row>
    <row r="91" spans="1:4" x14ac:dyDescent="0.25">
      <c r="A91" s="2" t="str">
        <f>"1.3.2.12.01- Micros/impressoras e acessorios"</f>
        <v>1.3.2.12.01- Micros/impressoras e acessorios</v>
      </c>
      <c r="B91" s="10">
        <v>2687164.28</v>
      </c>
      <c r="C91" s="10">
        <v>0</v>
      </c>
      <c r="D91" s="10">
        <v>2687164.28</v>
      </c>
    </row>
    <row r="92" spans="1:4" x14ac:dyDescent="0.25">
      <c r="A92" s="2" t="str">
        <f>"1.3.2.13.01- Imobilizacao em imoveis de terceiros"</f>
        <v>1.3.2.13.01- Imobilizacao em imoveis de terceiros</v>
      </c>
      <c r="B92" s="10">
        <v>1673924.44</v>
      </c>
      <c r="C92" s="10">
        <v>0</v>
      </c>
      <c r="D92" s="10">
        <v>1673924.44</v>
      </c>
    </row>
    <row r="93" spans="1:4" x14ac:dyDescent="0.25">
      <c r="A93" s="2" t="str">
        <f>"1.3.2.14.02- Estacao pampulha"</f>
        <v>1.3.2.14.02- Estacao pampulha</v>
      </c>
      <c r="B93" s="10">
        <v>43459.94</v>
      </c>
      <c r="C93" s="10">
        <v>0</v>
      </c>
      <c r="D93" s="10">
        <v>43459.94</v>
      </c>
    </row>
    <row r="94" spans="1:4" x14ac:dyDescent="0.25">
      <c r="A94" s="2" t="str">
        <f>"1.3.3.00.00- INTANGIVEL"</f>
        <v>1.3.3.00.00- INTANGIVEL</v>
      </c>
      <c r="B94" s="10">
        <v>891163.55</v>
      </c>
      <c r="C94" s="10">
        <v>0</v>
      </c>
      <c r="D94" s="10">
        <v>891163.55</v>
      </c>
    </row>
    <row r="95" spans="1:4" x14ac:dyDescent="0.25">
      <c r="A95" s="2" t="str">
        <f>"1.3.3.03.00- MARCAS E PATENTES"</f>
        <v>1.3.3.03.00- MARCAS E PATENTES</v>
      </c>
      <c r="B95" s="10">
        <v>808</v>
      </c>
      <c r="C95" s="10">
        <v>0</v>
      </c>
      <c r="D95" s="10">
        <v>808</v>
      </c>
    </row>
    <row r="96" spans="1:4" x14ac:dyDescent="0.25">
      <c r="A96" s="2" t="str">
        <f>"1.3.3.03.01- Marcas e Patentes"</f>
        <v>1.3.3.03.01- Marcas e Patentes</v>
      </c>
      <c r="B96" s="10">
        <v>808</v>
      </c>
      <c r="C96" s="10">
        <v>0</v>
      </c>
      <c r="D96" s="10">
        <v>808</v>
      </c>
    </row>
    <row r="97" spans="1:4" x14ac:dyDescent="0.25">
      <c r="A97" s="2" t="str">
        <f>"1.3.3.04.01- Programas e Sistemas"</f>
        <v>1.3.3.04.01- Programas e Sistemas</v>
      </c>
      <c r="B97" s="10">
        <v>890355.55</v>
      </c>
      <c r="C97" s="10">
        <v>0</v>
      </c>
      <c r="D97" s="10">
        <v>890355.55</v>
      </c>
    </row>
    <row r="98" spans="1:4" x14ac:dyDescent="0.25">
      <c r="A98" s="2" t="str">
        <f>"1.3.5.00.00- ( - )DEPRECIACAO E AMORTIZACAO"</f>
        <v>1.3.5.00.00- ( - )DEPRECIACAO E AMORTIZACAO</v>
      </c>
      <c r="B98" s="10">
        <v>-5583729.8799999999</v>
      </c>
      <c r="C98" s="10">
        <v>-21951.68</v>
      </c>
      <c r="D98" s="10">
        <v>-5605681.5599999996</v>
      </c>
    </row>
    <row r="99" spans="1:4" x14ac:dyDescent="0.25">
      <c r="A99" s="2" t="str">
        <f>"1.3.5.01.00- ( - ) DEPRECIACAO E AMORTIZACAO"</f>
        <v>1.3.5.01.00- ( - ) DEPRECIACAO E AMORTIZACAO</v>
      </c>
      <c r="B99" s="10">
        <v>-5583729.8799999999</v>
      </c>
      <c r="C99" s="10">
        <v>-21951.68</v>
      </c>
      <c r="D99" s="10">
        <v>-5605681.5599999996</v>
      </c>
    </row>
    <row r="100" spans="1:4" x14ac:dyDescent="0.25">
      <c r="A100" s="2" t="str">
        <f>"1.3.5.01.01- ( - ) Moveis e Utensilios"</f>
        <v>1.3.5.01.01- ( - ) Moveis e Utensilios</v>
      </c>
      <c r="B100" s="10">
        <v>-429126.32</v>
      </c>
      <c r="C100" s="10">
        <v>-2625.13</v>
      </c>
      <c r="D100" s="10">
        <v>-431751.45</v>
      </c>
    </row>
    <row r="101" spans="1:4" x14ac:dyDescent="0.25">
      <c r="A101" s="2" t="str">
        <f>"1.3.5.01.02- ( - ) Aparelhos/Equipamentos Diversos"</f>
        <v>1.3.5.01.02- ( - ) Aparelhos/Equipamentos Diversos</v>
      </c>
      <c r="B101" s="10">
        <v>-342837.4</v>
      </c>
      <c r="C101" s="10">
        <v>-3905.8</v>
      </c>
      <c r="D101" s="10">
        <v>-346743.2</v>
      </c>
    </row>
    <row r="102" spans="1:4" x14ac:dyDescent="0.25">
      <c r="A102" s="2" t="str">
        <f>"1.3.5.01.03- ( - ) Instalacoes Administrativas"</f>
        <v>1.3.5.01.03- ( - ) Instalacoes Administrativas</v>
      </c>
      <c r="B102" s="10">
        <v>-98500.64</v>
      </c>
      <c r="C102" s="10">
        <v>-102.62</v>
      </c>
      <c r="D102" s="10">
        <v>-98603.26</v>
      </c>
    </row>
    <row r="103" spans="1:4" x14ac:dyDescent="0.25">
      <c r="A103" s="2" t="str">
        <f>"1.3.5.01.05- ( - ) Impressoras e Micros"</f>
        <v>1.3.5.01.05- ( - ) Impressoras e Micros</v>
      </c>
      <c r="B103" s="10">
        <v>-2602249.1800000002</v>
      </c>
      <c r="C103" s="10">
        <v>-7281.36</v>
      </c>
      <c r="D103" s="10">
        <v>-2609530.54</v>
      </c>
    </row>
    <row r="104" spans="1:4" x14ac:dyDescent="0.25">
      <c r="A104" s="2" t="str">
        <f>"1.3.5.01.06- ( - ) Maquinas e Equipamentos"</f>
        <v>1.3.5.01.06- ( - ) Maquinas e Equipamentos</v>
      </c>
      <c r="B104" s="10">
        <v>-147330.68</v>
      </c>
      <c r="C104" s="10">
        <v>-1385.61</v>
      </c>
      <c r="D104" s="10">
        <v>-148716.29</v>
      </c>
    </row>
    <row r="105" spans="1:4" x14ac:dyDescent="0.25">
      <c r="A105" s="2" t="str">
        <f>"1.3.5.01.07- ( - ) Equipamentos de Comunicacao"</f>
        <v>1.3.5.01.07- ( - ) Equipamentos de Comunicacao</v>
      </c>
      <c r="B105" s="10">
        <v>-190841.73</v>
      </c>
      <c r="C105" s="10">
        <v>-78.02</v>
      </c>
      <c r="D105" s="10">
        <v>-190919.75</v>
      </c>
    </row>
    <row r="106" spans="1:4" x14ac:dyDescent="0.25">
      <c r="A106" s="2" t="str">
        <f>"1.3.5.01.08- ( - ) Instalacoes Operacionais"</f>
        <v>1.3.5.01.08- ( - ) Instalacoes Operacionais</v>
      </c>
      <c r="B106" s="10">
        <v>-64729.79</v>
      </c>
      <c r="C106" s="10">
        <v>-324.04000000000002</v>
      </c>
      <c r="D106" s="10">
        <v>-65053.83</v>
      </c>
    </row>
    <row r="107" spans="1:4" x14ac:dyDescent="0.25">
      <c r="A107" s="2" t="str">
        <f>"1.3.5.01.09- ( - ) Programas (Softwares)"</f>
        <v>1.3.5.01.09- ( - ) Programas (Softwares)</v>
      </c>
      <c r="B107" s="10">
        <v>-635147.13</v>
      </c>
      <c r="C107" s="10">
        <v>-612.5</v>
      </c>
      <c r="D107" s="10">
        <v>-635759.63</v>
      </c>
    </row>
    <row r="108" spans="1:4" x14ac:dyDescent="0.25">
      <c r="A108" s="2" t="str">
        <f>"1.3.5.01.14- ( - ) Ferramentas"</f>
        <v>1.3.5.01.14- ( - ) Ferramentas</v>
      </c>
      <c r="B108" s="10">
        <v>-6809.02</v>
      </c>
      <c r="C108" s="10">
        <v>-56.85</v>
      </c>
      <c r="D108" s="10">
        <v>-6865.87</v>
      </c>
    </row>
    <row r="109" spans="1:4" x14ac:dyDescent="0.25">
      <c r="A109" s="2" t="str">
        <f>"1.3.5.01.15- ( - ) Imobilizacoes em Imov. Terceiros"</f>
        <v>1.3.5.01.15- ( - ) Imobilizacoes em Imov. Terceiros</v>
      </c>
      <c r="B109" s="10">
        <v>-1066157.99</v>
      </c>
      <c r="C109" s="10">
        <v>-5579.75</v>
      </c>
      <c r="D109" s="10">
        <v>-1071737.74</v>
      </c>
    </row>
    <row r="110" spans="1:4" x14ac:dyDescent="0.25">
      <c r="A110" s="2" t="str">
        <f>""</f>
        <v/>
      </c>
      <c r="B110" s="3" t="str">
        <f>""</f>
        <v/>
      </c>
      <c r="C110" s="3" t="str">
        <f>""</f>
        <v/>
      </c>
      <c r="D110" s="3" t="str">
        <f>""</f>
        <v/>
      </c>
    </row>
    <row r="111" spans="1:4" x14ac:dyDescent="0.25">
      <c r="A111" s="2" t="str">
        <f>"PASSIVO"</f>
        <v>PASSIVO</v>
      </c>
      <c r="B111" s="3" t="str">
        <f>""</f>
        <v/>
      </c>
      <c r="C111" s="3" t="str">
        <f>""</f>
        <v/>
      </c>
      <c r="D111" s="3" t="str">
        <f>""</f>
        <v/>
      </c>
    </row>
    <row r="112" spans="1:4" x14ac:dyDescent="0.25">
      <c r="A112" s="2" t="str">
        <f>"2.0.0.00.00- PASSIVO"</f>
        <v>2.0.0.00.00- PASSIVO</v>
      </c>
      <c r="B112" s="10">
        <v>36176494.909999996</v>
      </c>
      <c r="C112" s="10">
        <v>3411445.29</v>
      </c>
      <c r="D112" s="10">
        <v>39587940.200000003</v>
      </c>
    </row>
    <row r="113" spans="1:4" x14ac:dyDescent="0.25">
      <c r="A113" s="2" t="str">
        <f>"2.1.0.00.00- PASSIVO CIRCULANTE"</f>
        <v>2.1.0.00.00- PASSIVO CIRCULANTE</v>
      </c>
      <c r="B113" s="10">
        <v>59960638.170000002</v>
      </c>
      <c r="C113" s="10">
        <v>3762371.33</v>
      </c>
      <c r="D113" s="10">
        <v>63723009.5</v>
      </c>
    </row>
    <row r="114" spans="1:4" x14ac:dyDescent="0.25">
      <c r="A114" s="2" t="str">
        <f>"2.1.1.00.00- OBRIGACOES COM PESSOAL"</f>
        <v>2.1.1.00.00- OBRIGACOES COM PESSOAL</v>
      </c>
      <c r="B114" s="10">
        <v>11308914.289999999</v>
      </c>
      <c r="C114" s="10">
        <v>17537615.98</v>
      </c>
      <c r="D114" s="10">
        <v>28846530.27</v>
      </c>
    </row>
    <row r="115" spans="1:4" x14ac:dyDescent="0.25">
      <c r="A115" s="2" t="str">
        <f>"2.1.1.01.00- SALARIOS A PAGAR"</f>
        <v>2.1.1.01.00- SALARIOS A PAGAR</v>
      </c>
      <c r="B115" s="10">
        <v>11308914.289999999</v>
      </c>
      <c r="C115" s="10">
        <v>17537615.98</v>
      </c>
      <c r="D115" s="10">
        <v>28846530.27</v>
      </c>
    </row>
    <row r="116" spans="1:4" x14ac:dyDescent="0.25">
      <c r="A116" s="2" t="str">
        <f>"2.1.1.01.01- Salarios a Pagar"</f>
        <v>2.1.1.01.01- Salarios a Pagar</v>
      </c>
      <c r="B116" s="10">
        <v>3511421.27</v>
      </c>
      <c r="C116" s="10">
        <v>4096444.38</v>
      </c>
      <c r="D116" s="10">
        <v>7607865.6500000004</v>
      </c>
    </row>
    <row r="117" spans="1:4" x14ac:dyDescent="0.25">
      <c r="A117" s="2" t="str">
        <f>"2.1.1.01.02- Provisão 13º Salário"</f>
        <v>2.1.1.01.02- Provisão 13º Salário</v>
      </c>
      <c r="B117" s="10">
        <v>1903797.57</v>
      </c>
      <c r="C117" s="10">
        <v>773411.14</v>
      </c>
      <c r="D117" s="10">
        <v>2677208.71</v>
      </c>
    </row>
    <row r="118" spans="1:4" x14ac:dyDescent="0.25">
      <c r="A118" s="2" t="str">
        <f>"2.1.1.01.03- Ferias a pagar"</f>
        <v>2.1.1.01.03- Ferias a pagar</v>
      </c>
      <c r="B118" s="10">
        <v>6405.08</v>
      </c>
      <c r="C118" s="10">
        <v>151363.16</v>
      </c>
      <c r="D118" s="10">
        <v>157768.24</v>
      </c>
    </row>
    <row r="119" spans="1:4" x14ac:dyDescent="0.25">
      <c r="A119" s="2" t="str">
        <f>"2.1.1.01.05- Rescisoes a Pagar"</f>
        <v>2.1.1.01.05- Rescisoes a Pagar</v>
      </c>
      <c r="B119" s="10">
        <v>21128.25</v>
      </c>
      <c r="C119" s="10">
        <v>458.72</v>
      </c>
      <c r="D119" s="10">
        <v>21586.97</v>
      </c>
    </row>
    <row r="120" spans="1:4" x14ac:dyDescent="0.25">
      <c r="A120" s="2" t="str">
        <f>"2.1.1.01.09- Provisao de Ferias"</f>
        <v>2.1.1.01.09- Provisao de Ferias</v>
      </c>
      <c r="B120" s="10">
        <v>5858826.8300000001</v>
      </c>
      <c r="C120" s="10">
        <v>1270863.45</v>
      </c>
      <c r="D120" s="10">
        <v>7129690.2800000003</v>
      </c>
    </row>
    <row r="121" spans="1:4" x14ac:dyDescent="0.25">
      <c r="A121" s="2" t="str">
        <f>"2.1.1.01.10- Diferencas Salariais"</f>
        <v>2.1.1.01.10- Diferencas Salariais</v>
      </c>
      <c r="B121" s="10">
        <v>7335.29</v>
      </c>
      <c r="C121" s="10">
        <v>0</v>
      </c>
      <c r="D121" s="10">
        <v>7335.29</v>
      </c>
    </row>
    <row r="122" spans="1:4" x14ac:dyDescent="0.25">
      <c r="A122" s="2" t="str">
        <f>"2.1.1.01.11- Indenizações trabalhistas - ACT"</f>
        <v>2.1.1.01.11- Indenizações trabalhistas - ACT</v>
      </c>
      <c r="B122" s="10">
        <v>0</v>
      </c>
      <c r="C122" s="10">
        <v>11245075.130000001</v>
      </c>
      <c r="D122" s="10">
        <v>11245075.130000001</v>
      </c>
    </row>
    <row r="123" spans="1:4" x14ac:dyDescent="0.25">
      <c r="A123" s="2" t="str">
        <f>"2.1.2.00.00- OBRIGACOES SOCIAIS A CURTO PRAZO"</f>
        <v>2.1.2.00.00- OBRIGACOES SOCIAIS A CURTO PRAZO</v>
      </c>
      <c r="B123" s="10">
        <v>5664833.0800000001</v>
      </c>
      <c r="C123" s="10">
        <v>6662572.3499999996</v>
      </c>
      <c r="D123" s="10">
        <v>12327405.43</v>
      </c>
    </row>
    <row r="124" spans="1:4" x14ac:dyDescent="0.25">
      <c r="A124" s="2" t="str">
        <f>"2.1.2.01.00- OBRIGACOES SOCIAIS A RECOLHER"</f>
        <v>2.1.2.01.00- OBRIGACOES SOCIAIS A RECOLHER</v>
      </c>
      <c r="B124" s="10">
        <v>5664833.0800000001</v>
      </c>
      <c r="C124" s="10">
        <v>6662572.3499999996</v>
      </c>
      <c r="D124" s="10">
        <v>12327405.43</v>
      </c>
    </row>
    <row r="125" spans="1:4" x14ac:dyDescent="0.25">
      <c r="A125" s="2" t="str">
        <f>"2.1.2.01.01- INSS a recolher s/Folha Pagto"</f>
        <v>2.1.2.01.01- INSS a recolher s/Folha Pagto</v>
      </c>
      <c r="B125" s="10">
        <v>1856497.26</v>
      </c>
      <c r="C125" s="10">
        <v>4740233.67</v>
      </c>
      <c r="D125" s="10">
        <v>6596730.9299999997</v>
      </c>
    </row>
    <row r="126" spans="1:4" x14ac:dyDescent="0.25">
      <c r="A126" s="2" t="str">
        <f>"2.1.2.01.02- FGTS a recolher s/Folha Pagto"</f>
        <v>2.1.2.01.02- FGTS a recolher s/Folha Pagto</v>
      </c>
      <c r="B126" s="10">
        <v>413232.58</v>
      </c>
      <c r="C126" s="10">
        <v>1263614.71</v>
      </c>
      <c r="D126" s="10">
        <v>1676847.29</v>
      </c>
    </row>
    <row r="127" spans="1:4" x14ac:dyDescent="0.25">
      <c r="A127" s="2" t="str">
        <f>"2.1.2.01.05- Contribuicao Sindical"</f>
        <v>2.1.2.01.05- Contribuicao Sindical</v>
      </c>
      <c r="B127" s="10">
        <v>6421.12</v>
      </c>
      <c r="C127" s="10">
        <v>3475.63</v>
      </c>
      <c r="D127" s="10">
        <v>9896.75</v>
      </c>
    </row>
    <row r="128" spans="1:4" x14ac:dyDescent="0.25">
      <c r="A128" s="2" t="str">
        <f>"2.1.2.01.06- INSS s/Provisao de Ferias"</f>
        <v>2.1.2.01.06- INSS s/Provisao de Ferias</v>
      </c>
      <c r="B128" s="10">
        <v>1701242.6</v>
      </c>
      <c r="C128" s="10">
        <v>368735.37</v>
      </c>
      <c r="D128" s="10">
        <v>2069977.97</v>
      </c>
    </row>
    <row r="129" spans="1:4" x14ac:dyDescent="0.25">
      <c r="A129" s="2" t="str">
        <f>"2.1.2.01.07- AEB - Assoc. Empreg. BHTRANS"</f>
        <v>2.1.2.01.07- AEB - Assoc. Empreg. BHTRANS</v>
      </c>
      <c r="B129" s="10">
        <v>5105.92</v>
      </c>
      <c r="C129" s="10">
        <v>-20.96</v>
      </c>
      <c r="D129" s="10">
        <v>5084.96</v>
      </c>
    </row>
    <row r="130" spans="1:4" x14ac:dyDescent="0.25">
      <c r="A130" s="2" t="str">
        <f>"2.1.2.01.09- INSS a Recolher s/Autonomos"</f>
        <v>2.1.2.01.09- INSS a Recolher s/Autonomos</v>
      </c>
      <c r="B130" s="10">
        <v>0</v>
      </c>
      <c r="C130" s="10">
        <v>2198.83</v>
      </c>
      <c r="D130" s="10">
        <v>2198.83</v>
      </c>
    </row>
    <row r="131" spans="1:4" x14ac:dyDescent="0.25">
      <c r="A131" s="2" t="str">
        <f>"2.1.2.01.10- INSS s/Provisao de 13.Salario"</f>
        <v>2.1.2.01.10- INSS s/Provisao de 13.Salario</v>
      </c>
      <c r="B131" s="10">
        <v>553460.03</v>
      </c>
      <c r="C131" s="10">
        <v>224943.09</v>
      </c>
      <c r="D131" s="10">
        <v>778403.12</v>
      </c>
    </row>
    <row r="132" spans="1:4" x14ac:dyDescent="0.25">
      <c r="A132" s="2" t="str">
        <f>"2.1.2.01.11- FGTS s/Provisao de 13.Salario"</f>
        <v>2.1.2.01.11- FGTS s/Provisao de 13.Salario</v>
      </c>
      <c r="B132" s="10">
        <v>101613.96</v>
      </c>
      <c r="C132" s="10">
        <v>-55061.86</v>
      </c>
      <c r="D132" s="10">
        <v>46552.1</v>
      </c>
    </row>
    <row r="133" spans="1:4" x14ac:dyDescent="0.25">
      <c r="A133" s="2" t="str">
        <f>"2.1.2.01.12- FGTS s/Provisao de Ferias"</f>
        <v>2.1.2.01.12- FGTS s/Provisao de Ferias</v>
      </c>
      <c r="B133" s="10">
        <v>468490.46</v>
      </c>
      <c r="C133" s="10">
        <v>101343.61</v>
      </c>
      <c r="D133" s="10">
        <v>569834.06999999995</v>
      </c>
    </row>
    <row r="134" spans="1:4" x14ac:dyDescent="0.25">
      <c r="A134" s="2" t="str">
        <f>"2.1.2.01.13- Contribuicao ao PAMEH"</f>
        <v>2.1.2.01.13- Contribuicao ao PAMEH</v>
      </c>
      <c r="B134" s="10">
        <v>364705.21</v>
      </c>
      <c r="C134" s="10">
        <v>58269.88</v>
      </c>
      <c r="D134" s="10">
        <v>422975.09</v>
      </c>
    </row>
    <row r="135" spans="1:4" x14ac:dyDescent="0.25">
      <c r="A135" s="2" t="str">
        <f>"2.1.2.01.15- Crediserv-BH"</f>
        <v>2.1.2.01.15- Crediserv-BH</v>
      </c>
      <c r="B135" s="10">
        <v>16199.74</v>
      </c>
      <c r="C135" s="10">
        <v>449.56</v>
      </c>
      <c r="D135" s="10">
        <v>16649.3</v>
      </c>
    </row>
    <row r="136" spans="1:4" x14ac:dyDescent="0.25">
      <c r="A136" s="2" t="str">
        <f>"2.1.2.01.16- INSS Fonte a Recolher - PJ"</f>
        <v>2.1.2.01.16- INSS Fonte a Recolher - PJ</v>
      </c>
      <c r="B136" s="10">
        <v>176276.97</v>
      </c>
      <c r="C136" s="10">
        <v>-45501.04</v>
      </c>
      <c r="D136" s="10">
        <v>130775.93</v>
      </c>
    </row>
    <row r="137" spans="1:4" x14ac:dyDescent="0.25">
      <c r="A137" s="2" t="str">
        <f>"2.1.2.01.18- INSS Fonte a Recolher - P F"</f>
        <v>2.1.2.01.18- INSS Fonte a Recolher - P F</v>
      </c>
      <c r="B137" s="10">
        <v>1047.23</v>
      </c>
      <c r="C137" s="10">
        <v>-108.14</v>
      </c>
      <c r="D137" s="10">
        <v>939.09</v>
      </c>
    </row>
    <row r="138" spans="1:4" x14ac:dyDescent="0.25">
      <c r="A138" s="2" t="str">
        <f>"2.1.2.01.19- ASFIM - PBH"</f>
        <v>2.1.2.01.19- ASFIM - PBH</v>
      </c>
      <c r="B138" s="10">
        <v>540</v>
      </c>
      <c r="C138" s="10">
        <v>0</v>
      </c>
      <c r="D138" s="10">
        <v>540</v>
      </c>
    </row>
    <row r="139" spans="1:4" x14ac:dyDescent="0.25">
      <c r="A139" s="2" t="str">
        <f>"2.1.3.00.00- OBRIGACOES FISCAIS A CURTO PRAZO"</f>
        <v>2.1.3.00.00- OBRIGACOES FISCAIS A CURTO PRAZO</v>
      </c>
      <c r="B139" s="10">
        <v>1425604.1</v>
      </c>
      <c r="C139" s="10">
        <v>-7660.2</v>
      </c>
      <c r="D139" s="10">
        <v>1417943.9</v>
      </c>
    </row>
    <row r="140" spans="1:4" x14ac:dyDescent="0.25">
      <c r="A140" s="2" t="str">
        <f>"2.1.3.01.00- IMPOSTOS E TAXAS A RECOLHER"</f>
        <v>2.1.3.01.00- IMPOSTOS E TAXAS A RECOLHER</v>
      </c>
      <c r="B140" s="10">
        <v>1425604.1</v>
      </c>
      <c r="C140" s="10">
        <v>-7660.2</v>
      </c>
      <c r="D140" s="10">
        <v>1417943.9</v>
      </c>
    </row>
    <row r="141" spans="1:4" x14ac:dyDescent="0.25">
      <c r="A141" s="2" t="str">
        <f>"2.1.3.01.01- IRRF Fonte Folha Pagto"</f>
        <v>2.1.3.01.01- IRRF Fonte Folha Pagto</v>
      </c>
      <c r="B141" s="10">
        <v>435568.5</v>
      </c>
      <c r="C141" s="10">
        <v>3892.66</v>
      </c>
      <c r="D141" s="10">
        <v>439461.16</v>
      </c>
    </row>
    <row r="142" spans="1:4" x14ac:dyDescent="0.25">
      <c r="A142" s="2" t="str">
        <f>"2.1.3.01.03- IRRF Fonte - Pessoa  Juridica e Física"</f>
        <v>2.1.3.01.03- IRRF Fonte - Pessoa  Juridica e Física</v>
      </c>
      <c r="B142" s="10">
        <v>17845.14</v>
      </c>
      <c r="C142" s="10">
        <v>-3930.97</v>
      </c>
      <c r="D142" s="10">
        <v>13914.17</v>
      </c>
    </row>
    <row r="143" spans="1:4" x14ac:dyDescent="0.25">
      <c r="A143" s="2" t="str">
        <f>"2.1.3.01.05- ISS S/ Faturamento"</f>
        <v>2.1.3.01.05- ISS S/ Faturamento</v>
      </c>
      <c r="B143" s="10">
        <v>2058.94</v>
      </c>
      <c r="C143" s="10">
        <v>-33.43</v>
      </c>
      <c r="D143" s="10">
        <v>2025.51</v>
      </c>
    </row>
    <row r="144" spans="1:4" x14ac:dyDescent="0.25">
      <c r="A144" s="2" t="str">
        <f>"2.1.3.01.07- COFINS a Recolher"</f>
        <v>2.1.3.01.07- COFINS a Recolher</v>
      </c>
      <c r="B144" s="10">
        <v>715564.24</v>
      </c>
      <c r="C144" s="10">
        <v>11654.79</v>
      </c>
      <c r="D144" s="10">
        <v>727219.03</v>
      </c>
    </row>
    <row r="145" spans="1:4" x14ac:dyDescent="0.25">
      <c r="A145" s="2" t="str">
        <f>"2.1.3.01.08- PIS a Recolher"</f>
        <v>2.1.3.01.08- PIS a Recolher</v>
      </c>
      <c r="B145" s="10">
        <v>155157.85</v>
      </c>
      <c r="C145" s="10">
        <v>2516.9899999999998</v>
      </c>
      <c r="D145" s="10">
        <v>157674.84</v>
      </c>
    </row>
    <row r="146" spans="1:4" x14ac:dyDescent="0.25">
      <c r="A146" s="2" t="str">
        <f>"2.1.3.01.09- ISS Fonte a Recolher P.Juridica"</f>
        <v>2.1.3.01.09- ISS Fonte a Recolher P.Juridica</v>
      </c>
      <c r="B146" s="10">
        <v>5735.77</v>
      </c>
      <c r="C146" s="10">
        <v>-49.54</v>
      </c>
      <c r="D146" s="10">
        <v>5686.23</v>
      </c>
    </row>
    <row r="147" spans="1:4" x14ac:dyDescent="0.25">
      <c r="A147" s="2" t="str">
        <f>"2.1.3.01.12- CSLL-COFINS-PIS - FONTE"</f>
        <v>2.1.3.01.12- CSLL-COFINS-PIS - FONTE</v>
      </c>
      <c r="B147" s="10">
        <v>93673.66</v>
      </c>
      <c r="C147" s="10">
        <v>-21710.7</v>
      </c>
      <c r="D147" s="10">
        <v>71962.960000000006</v>
      </c>
    </row>
    <row r="148" spans="1:4" x14ac:dyDescent="0.25">
      <c r="A148" s="2" t="str">
        <f>"2.1.4.00.00- OUTRAS OBRIGACOES A CURTO PRAZO"</f>
        <v>2.1.4.00.00- OUTRAS OBRIGACOES A CURTO PRAZO</v>
      </c>
      <c r="B148" s="10">
        <v>30462882.870000001</v>
      </c>
      <c r="C148" s="10">
        <v>-9416295.8399999999</v>
      </c>
      <c r="D148" s="10">
        <v>21046587.030000001</v>
      </c>
    </row>
    <row r="149" spans="1:4" x14ac:dyDescent="0.25">
      <c r="A149" s="2" t="str">
        <f>"2.1.4.01.00- FORNECEDORES"</f>
        <v>2.1.4.01.00- FORNECEDORES</v>
      </c>
      <c r="B149" s="10">
        <v>2458254.86</v>
      </c>
      <c r="C149" s="10">
        <v>416501.42</v>
      </c>
      <c r="D149" s="10">
        <v>2874756.28</v>
      </c>
    </row>
    <row r="150" spans="1:4" x14ac:dyDescent="0.25">
      <c r="A150" s="2" t="str">
        <f>"2.1.4.01.99- Fornecedores"</f>
        <v>2.1.4.01.99- Fornecedores</v>
      </c>
      <c r="B150" s="10">
        <v>2458254.86</v>
      </c>
      <c r="C150" s="10">
        <v>416501.42</v>
      </c>
      <c r="D150" s="10">
        <v>2874756.28</v>
      </c>
    </row>
    <row r="151" spans="1:4" x14ac:dyDescent="0.25">
      <c r="A151" s="2" t="str">
        <f>"2.1.4.02.00- CONTAS A PAGAR"</f>
        <v>2.1.4.02.00- CONTAS A PAGAR</v>
      </c>
      <c r="B151" s="10">
        <v>280346.65999999997</v>
      </c>
      <c r="C151" s="10">
        <v>4910.58</v>
      </c>
      <c r="D151" s="10">
        <v>285257.24</v>
      </c>
    </row>
    <row r="152" spans="1:4" x14ac:dyDescent="0.25">
      <c r="A152" s="2" t="str">
        <f>"2.1.4.02.01- Emprestimo Consignado - Bradesco"</f>
        <v>2.1.4.02.01- Emprestimo Consignado - Bradesco</v>
      </c>
      <c r="B152" s="10">
        <v>56031.22</v>
      </c>
      <c r="C152" s="10">
        <v>10072.290000000001</v>
      </c>
      <c r="D152" s="10">
        <v>66103.509999999995</v>
      </c>
    </row>
    <row r="153" spans="1:4" x14ac:dyDescent="0.25">
      <c r="A153" s="2" t="str">
        <f>"2.1.4.02.03- Emprestimo Consignado - CEF"</f>
        <v>2.1.4.02.03- Emprestimo Consignado - CEF</v>
      </c>
      <c r="B153" s="10">
        <v>38167.5</v>
      </c>
      <c r="C153" s="10">
        <v>-1428.45</v>
      </c>
      <c r="D153" s="10">
        <v>36739.050000000003</v>
      </c>
    </row>
    <row r="154" spans="1:4" x14ac:dyDescent="0.25">
      <c r="A154" s="2" t="str">
        <f>"2.1.4.02.04- Emprestimo Consignado - B.Brasil"</f>
        <v>2.1.4.02.04- Emprestimo Consignado - B.Brasil</v>
      </c>
      <c r="B154" s="10">
        <v>72127.23</v>
      </c>
      <c r="C154" s="10">
        <v>-1642.06</v>
      </c>
      <c r="D154" s="10">
        <v>70485.17</v>
      </c>
    </row>
    <row r="155" spans="1:4" x14ac:dyDescent="0.25">
      <c r="A155" s="2" t="str">
        <f>"2.1.4.02.05- Emprestimo Consignado-Banco Alfa"</f>
        <v>2.1.4.02.05- Emprestimo Consignado-Banco Alfa</v>
      </c>
      <c r="B155" s="10">
        <v>73521.350000000006</v>
      </c>
      <c r="C155" s="10">
        <v>-1240.78</v>
      </c>
      <c r="D155" s="10">
        <v>72280.570000000007</v>
      </c>
    </row>
    <row r="156" spans="1:4" x14ac:dyDescent="0.25">
      <c r="A156" s="2" t="str">
        <f>"2.1.4.02.07- Emprestimo Consignado - B. Safra"</f>
        <v>2.1.4.02.07- Emprestimo Consignado - B. Safra</v>
      </c>
      <c r="B156" s="10">
        <v>18655.98</v>
      </c>
      <c r="C156" s="10">
        <v>0</v>
      </c>
      <c r="D156" s="10">
        <v>18655.98</v>
      </c>
    </row>
    <row r="157" spans="1:4" x14ac:dyDescent="0.25">
      <c r="A157" s="2" t="str">
        <f>"2.1.4.02.08- Emprestimo Consignado - BMG"</f>
        <v>2.1.4.02.08- Emprestimo Consignado - BMG</v>
      </c>
      <c r="B157" s="10">
        <v>1048.25</v>
      </c>
      <c r="C157" s="10">
        <v>0</v>
      </c>
      <c r="D157" s="10">
        <v>1048.25</v>
      </c>
    </row>
    <row r="158" spans="1:4" x14ac:dyDescent="0.25">
      <c r="A158" s="2" t="str">
        <f>"2.1.4.02.09- Emprestimo Consignado - BMC"</f>
        <v>2.1.4.02.09- Emprestimo Consignado - BMC</v>
      </c>
      <c r="B158" s="10">
        <v>1000.35</v>
      </c>
      <c r="C158" s="10">
        <v>0</v>
      </c>
      <c r="D158" s="10">
        <v>1000.35</v>
      </c>
    </row>
    <row r="159" spans="1:4" x14ac:dyDescent="0.25">
      <c r="A159" s="2" t="str">
        <f>"2.1.4.02.10- Cartão - BMG Card"</f>
        <v>2.1.4.02.10- Cartão - BMG Card</v>
      </c>
      <c r="B159" s="10">
        <v>8134.58</v>
      </c>
      <c r="C159" s="10">
        <v>-392.53</v>
      </c>
      <c r="D159" s="10">
        <v>7742.05</v>
      </c>
    </row>
    <row r="160" spans="1:4" x14ac:dyDescent="0.25">
      <c r="A160" s="2" t="str">
        <f>"2.1.4.02.11- Contrib.Entid.Classe"</f>
        <v>2.1.4.02.11- Contrib.Entid.Classe</v>
      </c>
      <c r="B160" s="10">
        <v>81.53</v>
      </c>
      <c r="C160" s="10">
        <v>-81.53</v>
      </c>
      <c r="D160" s="10">
        <v>0</v>
      </c>
    </row>
    <row r="161" spans="1:4" x14ac:dyDescent="0.25">
      <c r="A161" s="2" t="str">
        <f>"2.1.4.02.99- Contas a Pagar"</f>
        <v>2.1.4.02.99- Contas a Pagar</v>
      </c>
      <c r="B161" s="10">
        <v>11578.67</v>
      </c>
      <c r="C161" s="10">
        <v>-376.36</v>
      </c>
      <c r="D161" s="10">
        <v>11202.31</v>
      </c>
    </row>
    <row r="162" spans="1:4" x14ac:dyDescent="0.25">
      <c r="A162" s="2" t="str">
        <f>"2.1.4.03.00- CREDORES DIVERSOS"</f>
        <v>2.1.4.03.00- CREDORES DIVERSOS</v>
      </c>
      <c r="B162" s="10">
        <v>27167803.469999999</v>
      </c>
      <c r="C162" s="10">
        <v>-9837707.8399999999</v>
      </c>
      <c r="D162" s="10">
        <v>17330095.629999999</v>
      </c>
    </row>
    <row r="163" spans="1:4" x14ac:dyDescent="0.25">
      <c r="A163" s="2" t="str">
        <f>"2.1.4.03.07- Adiantamento Acionista - Municipio BH"</f>
        <v>2.1.4.03.07- Adiantamento Acionista - Municipio BH</v>
      </c>
      <c r="B163" s="10">
        <v>26319618.350000001</v>
      </c>
      <c r="C163" s="10">
        <v>-9841832.6600000001</v>
      </c>
      <c r="D163" s="10">
        <v>16477785.689999999</v>
      </c>
    </row>
    <row r="164" spans="1:4" x14ac:dyDescent="0.25">
      <c r="A164" s="2" t="str">
        <f>"2.1.4.03.17- Adiantamento de Clientes"</f>
        <v>2.1.4.03.17- Adiantamento de Clientes</v>
      </c>
      <c r="B164" s="10">
        <v>848185.12</v>
      </c>
      <c r="C164" s="10">
        <v>4124.82</v>
      </c>
      <c r="D164" s="10">
        <v>852309.94</v>
      </c>
    </row>
    <row r="165" spans="1:4" x14ac:dyDescent="0.25">
      <c r="A165" s="2" t="str">
        <f>"2.1.4.04.00- CAUCAO DE TERCEIROS/LEILAO"</f>
        <v>2.1.4.04.00- CAUCAO DE TERCEIROS/LEILAO</v>
      </c>
      <c r="B165" s="10">
        <v>556477.88</v>
      </c>
      <c r="C165" s="10">
        <v>0</v>
      </c>
      <c r="D165" s="10">
        <v>556477.88</v>
      </c>
    </row>
    <row r="166" spans="1:4" x14ac:dyDescent="0.25">
      <c r="A166" s="2" t="str">
        <f>"2.1.4.04.98- Leilões"</f>
        <v>2.1.4.04.98- Leilões</v>
      </c>
      <c r="B166" s="10">
        <v>373057.34</v>
      </c>
      <c r="C166" s="10">
        <v>0</v>
      </c>
      <c r="D166" s="10">
        <v>373057.34</v>
      </c>
    </row>
    <row r="167" spans="1:4" x14ac:dyDescent="0.25">
      <c r="A167" s="2" t="str">
        <f>"2.1.4.04.99- Caucao de Terceiros"</f>
        <v>2.1.4.04.99- Caucao de Terceiros</v>
      </c>
      <c r="B167" s="10">
        <v>183420.54</v>
      </c>
      <c r="C167" s="10">
        <v>0</v>
      </c>
      <c r="D167" s="10">
        <v>183420.54</v>
      </c>
    </row>
    <row r="168" spans="1:4" x14ac:dyDescent="0.25">
      <c r="A168" s="2" t="str">
        <f>"2.1.6.00.00- OBRIGACOES VINC. A PAGAR-PAMEH"</f>
        <v>2.1.6.00.00- OBRIGACOES VINC. A PAGAR-PAMEH</v>
      </c>
      <c r="B168" s="10">
        <v>62750.32</v>
      </c>
      <c r="C168" s="10">
        <v>21792.55</v>
      </c>
      <c r="D168" s="10">
        <v>84542.87</v>
      </c>
    </row>
    <row r="169" spans="1:4" x14ac:dyDescent="0.25">
      <c r="A169" s="2" t="str">
        <f>"2.1.6.01.00- OBRIGACOES VINC. -PAMEH"</f>
        <v>2.1.6.01.00- OBRIGACOES VINC. -PAMEH</v>
      </c>
      <c r="B169" s="10">
        <v>62750.32</v>
      </c>
      <c r="C169" s="10">
        <v>21792.55</v>
      </c>
      <c r="D169" s="10">
        <v>84542.87</v>
      </c>
    </row>
    <row r="170" spans="1:4" x14ac:dyDescent="0.25">
      <c r="A170" s="2" t="str">
        <f>"2.1.6.01.01- Obrigacoes Vinculadas - PAMEH"</f>
        <v>2.1.6.01.01- Obrigacoes Vinculadas - PAMEH</v>
      </c>
      <c r="B170" s="10">
        <v>62750.32</v>
      </c>
      <c r="C170" s="10">
        <v>21792.55</v>
      </c>
      <c r="D170" s="10">
        <v>84542.87</v>
      </c>
    </row>
    <row r="171" spans="1:4" x14ac:dyDescent="0.25">
      <c r="A171" s="2" t="str">
        <f>"2.1.8.00.00- CONTINGÊNCIAS TRABALHISTAS"</f>
        <v>2.1.8.00.00- CONTINGÊNCIAS TRABALHISTAS</v>
      </c>
      <c r="B171" s="10">
        <v>11035653.51</v>
      </c>
      <c r="C171" s="10">
        <v>-11035653.51</v>
      </c>
      <c r="D171" s="10">
        <v>0</v>
      </c>
    </row>
    <row r="172" spans="1:4" x14ac:dyDescent="0.25">
      <c r="A172" s="2" t="str">
        <f>"2.1.8.01.00- CONTINGÊNCIAS TRABALHISTAS"</f>
        <v>2.1.8.01.00- CONTINGÊNCIAS TRABALHISTAS</v>
      </c>
      <c r="B172" s="10">
        <v>11035653.51</v>
      </c>
      <c r="C172" s="10">
        <v>-11035653.51</v>
      </c>
      <c r="D172" s="10">
        <v>0</v>
      </c>
    </row>
    <row r="173" spans="1:4" x14ac:dyDescent="0.25">
      <c r="A173" s="2" t="str">
        <f>"2.1.8.01.01- Contingências Trabalhistas - ACT"</f>
        <v>2.1.8.01.01- Contingências Trabalhistas - ACT</v>
      </c>
      <c r="B173" s="10">
        <v>11035653.51</v>
      </c>
      <c r="C173" s="10">
        <v>-11035653.51</v>
      </c>
      <c r="D173" s="10">
        <v>0</v>
      </c>
    </row>
    <row r="174" spans="1:4" x14ac:dyDescent="0.25">
      <c r="A174" s="2" t="str">
        <f>"2.2.0.00.00- PASSIVO NAO CIRCULANTE"</f>
        <v>2.2.0.00.00- PASSIVO NAO CIRCULANTE</v>
      </c>
      <c r="B174" s="10">
        <v>40185095.520000003</v>
      </c>
      <c r="C174" s="10">
        <v>-350926.04</v>
      </c>
      <c r="D174" s="10">
        <v>39834169.479999997</v>
      </c>
    </row>
    <row r="175" spans="1:4" x14ac:dyDescent="0.25">
      <c r="A175" s="2" t="str">
        <f>"2.2.4.00.00- OUTRAS OBRIGACOES A LONGO PRAZO"</f>
        <v>2.2.4.00.00- OUTRAS OBRIGACOES A LONGO PRAZO</v>
      </c>
      <c r="B175" s="10">
        <v>35696214.509999998</v>
      </c>
      <c r="C175" s="10">
        <v>0</v>
      </c>
      <c r="D175" s="10">
        <v>35696214.509999998</v>
      </c>
    </row>
    <row r="176" spans="1:4" x14ac:dyDescent="0.25">
      <c r="A176" s="2" t="str">
        <f>"2.2.4.01.00- CREDORES DIVERSOS"</f>
        <v>2.2.4.01.00- CREDORES DIVERSOS</v>
      </c>
      <c r="B176" s="10">
        <v>15048557.66</v>
      </c>
      <c r="C176" s="10">
        <v>0</v>
      </c>
      <c r="D176" s="10">
        <v>15048557.66</v>
      </c>
    </row>
    <row r="177" spans="1:4" x14ac:dyDescent="0.25">
      <c r="A177" s="2" t="str">
        <f>"2.2.4.01.04- Provisão para Contingências Fiscais"</f>
        <v>2.2.4.01.04- Provisão para Contingências Fiscais</v>
      </c>
      <c r="B177" s="10">
        <v>14106702.720000001</v>
      </c>
      <c r="C177" s="10">
        <v>0</v>
      </c>
      <c r="D177" s="10">
        <v>14106702.720000001</v>
      </c>
    </row>
    <row r="178" spans="1:4" x14ac:dyDescent="0.25">
      <c r="A178" s="2" t="str">
        <f>"2.2.4.01.05- INSS Segurados"</f>
        <v>2.2.4.01.05- INSS Segurados</v>
      </c>
      <c r="B178" s="10">
        <v>941854.94</v>
      </c>
      <c r="C178" s="10">
        <v>0</v>
      </c>
      <c r="D178" s="10">
        <v>941854.94</v>
      </c>
    </row>
    <row r="179" spans="1:4" x14ac:dyDescent="0.25">
      <c r="A179" s="2" t="str">
        <f>"2.2.4.04.00- ACOES JUDICIAIS E TRABALHISTAS"</f>
        <v>2.2.4.04.00- ACOES JUDICIAIS E TRABALHISTAS</v>
      </c>
      <c r="B179" s="10">
        <v>20647656.850000001</v>
      </c>
      <c r="C179" s="10">
        <v>0</v>
      </c>
      <c r="D179" s="10">
        <v>20647656.850000001</v>
      </c>
    </row>
    <row r="180" spans="1:4" x14ac:dyDescent="0.25">
      <c r="A180" s="2" t="str">
        <f>"2.2.4.04.01- Acoes judiciais"</f>
        <v>2.2.4.04.01- Acoes judiciais</v>
      </c>
      <c r="B180" s="10">
        <v>16358380.48</v>
      </c>
      <c r="C180" s="10">
        <v>0</v>
      </c>
      <c r="D180" s="10">
        <v>16358380.48</v>
      </c>
    </row>
    <row r="181" spans="1:4" x14ac:dyDescent="0.25">
      <c r="A181" s="2" t="str">
        <f>"2.2.4.04.02- Acoes trabalhistas"</f>
        <v>2.2.4.04.02- Acoes trabalhistas</v>
      </c>
      <c r="B181" s="10">
        <v>4289276.37</v>
      </c>
      <c r="C181" s="10">
        <v>0</v>
      </c>
      <c r="D181" s="10">
        <v>4289276.37</v>
      </c>
    </row>
    <row r="182" spans="1:4" x14ac:dyDescent="0.25">
      <c r="A182" s="2" t="str">
        <f>"2.2.5.00.00- OBRIGACOES VINC.  AO PAMEH"</f>
        <v>2.2.5.00.00- OBRIGACOES VINC.  AO PAMEH</v>
      </c>
      <c r="B182" s="10">
        <v>4488881.01</v>
      </c>
      <c r="C182" s="10">
        <v>-350926.04</v>
      </c>
      <c r="D182" s="10">
        <v>4137954.97</v>
      </c>
    </row>
    <row r="183" spans="1:4" x14ac:dyDescent="0.25">
      <c r="A183" s="2" t="str">
        <f>"2.2.5.01.00- OBRIGACOES VINC.  AO PAMEH"</f>
        <v>2.2.5.01.00- OBRIGACOES VINC.  AO PAMEH</v>
      </c>
      <c r="B183" s="10">
        <v>4488881.01</v>
      </c>
      <c r="C183" s="10">
        <v>-350926.04</v>
      </c>
      <c r="D183" s="10">
        <v>4137954.97</v>
      </c>
    </row>
    <row r="184" spans="1:4" x14ac:dyDescent="0.25">
      <c r="A184" s="2" t="str">
        <f>"2.2.5.01.01- Resultado Exerc.Anteriores-PAMEH"</f>
        <v>2.2.5.01.01- Resultado Exerc.Anteriores-PAMEH</v>
      </c>
      <c r="B184" s="10">
        <v>3457128.18</v>
      </c>
      <c r="C184" s="10">
        <v>0</v>
      </c>
      <c r="D184" s="10">
        <v>3457128.18</v>
      </c>
    </row>
    <row r="185" spans="1:4" x14ac:dyDescent="0.25">
      <c r="A185" s="2" t="str">
        <f>"2.2.5.01.02- Resultado deste Exercicio-PAMEH"</f>
        <v>2.2.5.01.02- Resultado deste Exercicio-PAMEH</v>
      </c>
      <c r="B185" s="10">
        <v>-558188.93999999994</v>
      </c>
      <c r="C185" s="10">
        <v>-350926.04</v>
      </c>
      <c r="D185" s="10">
        <v>-909114.98</v>
      </c>
    </row>
    <row r="186" spans="1:4" x14ac:dyDescent="0.25">
      <c r="A186" s="2" t="str">
        <f>"2.2.5.01.03- Ajuste Exercício Anterior - PAMEH"</f>
        <v>2.2.5.01.03- Ajuste Exercício Anterior - PAMEH</v>
      </c>
      <c r="B186" s="10">
        <v>1589941.77</v>
      </c>
      <c r="C186" s="10">
        <v>0</v>
      </c>
      <c r="D186" s="10">
        <v>1589941.77</v>
      </c>
    </row>
    <row r="187" spans="1:4" x14ac:dyDescent="0.25">
      <c r="A187" s="2" t="str">
        <f>"2.4.0.00.00- PATRIMONIO LIQUIDO"</f>
        <v>2.4.0.00.00- PATRIMONIO LIQUIDO</v>
      </c>
      <c r="B187" s="10">
        <v>-63969238.780000001</v>
      </c>
      <c r="C187" s="10">
        <v>0</v>
      </c>
      <c r="D187" s="10">
        <v>-63969238.780000001</v>
      </c>
    </row>
    <row r="188" spans="1:4" x14ac:dyDescent="0.25">
      <c r="A188" s="2" t="str">
        <f>"2.4.1.00.00- CAPITAL SOCIAL"</f>
        <v>2.4.1.00.00- CAPITAL SOCIAL</v>
      </c>
      <c r="B188" s="10">
        <v>67418193.159999996</v>
      </c>
      <c r="C188" s="10">
        <v>0</v>
      </c>
      <c r="D188" s="10">
        <v>67418193.159999996</v>
      </c>
    </row>
    <row r="189" spans="1:4" x14ac:dyDescent="0.25">
      <c r="A189" s="2" t="str">
        <f>"2.4.1.02.00- CAPITAL REALIZADO"</f>
        <v>2.4.1.02.00- CAPITAL REALIZADO</v>
      </c>
      <c r="B189" s="10">
        <v>67418193.159999996</v>
      </c>
      <c r="C189" s="10">
        <v>0</v>
      </c>
      <c r="D189" s="10">
        <v>67418193.159999996</v>
      </c>
    </row>
    <row r="190" spans="1:4" x14ac:dyDescent="0.25">
      <c r="A190" s="2" t="str">
        <f>"2.4.1.02.01- Capital Subscrito"</f>
        <v>2.4.1.02.01- Capital Subscrito</v>
      </c>
      <c r="B190" s="10">
        <v>75000000</v>
      </c>
      <c r="C190" s="10">
        <v>0</v>
      </c>
      <c r="D190" s="10">
        <v>75000000</v>
      </c>
    </row>
    <row r="191" spans="1:4" x14ac:dyDescent="0.25">
      <c r="A191" s="2" t="str">
        <f>"2.4.1.02.04- Capital a Realizar"</f>
        <v>2.4.1.02.04- Capital a Realizar</v>
      </c>
      <c r="B191" s="10">
        <v>-7581806.8399999999</v>
      </c>
      <c r="C191" s="10">
        <v>0</v>
      </c>
      <c r="D191" s="10">
        <v>-7581806.8399999999</v>
      </c>
    </row>
    <row r="192" spans="1:4" x14ac:dyDescent="0.25">
      <c r="A192" s="2" t="str">
        <f>"2.4.3.00.00- RESULTADOS ACUMULADOS"</f>
        <v>2.4.3.00.00- RESULTADOS ACUMULADOS</v>
      </c>
      <c r="B192" s="10">
        <v>-131387431.94</v>
      </c>
      <c r="C192" s="10">
        <v>0</v>
      </c>
      <c r="D192" s="10">
        <v>-131387431.94</v>
      </c>
    </row>
    <row r="193" spans="1:4" x14ac:dyDescent="0.25">
      <c r="A193" s="2" t="str">
        <f>"2.4.3.01.00- LUCROS/PREJUIZOS ACUMULADOS"</f>
        <v>2.4.3.01.00- LUCROS/PREJUIZOS ACUMULADOS</v>
      </c>
      <c r="B193" s="10">
        <v>-131387431.94</v>
      </c>
      <c r="C193" s="10">
        <v>0</v>
      </c>
      <c r="D193" s="10">
        <v>-131387431.94</v>
      </c>
    </row>
    <row r="194" spans="1:4" x14ac:dyDescent="0.25">
      <c r="A194" s="2" t="str">
        <f>"2.4.3.01.01- Resultados de Exerc. Anteriores"</f>
        <v>2.4.3.01.01- Resultados de Exerc. Anteriores</v>
      </c>
      <c r="B194" s="10">
        <v>-131329846.40000001</v>
      </c>
      <c r="C194" s="10">
        <v>0</v>
      </c>
      <c r="D194" s="10">
        <v>-131329846.40000001</v>
      </c>
    </row>
    <row r="195" spans="1:4" x14ac:dyDescent="0.25">
      <c r="A195" s="2" t="str">
        <f>"2.4.3.01.03- Ajuste do Exercicio Anterior"</f>
        <v>2.4.3.01.03- Ajuste do Exercicio Anterior</v>
      </c>
      <c r="B195" s="10">
        <v>-57585.54</v>
      </c>
      <c r="C195" s="10">
        <v>0</v>
      </c>
      <c r="D195" s="10">
        <v>-57585.54</v>
      </c>
    </row>
    <row r="196" spans="1:4" x14ac:dyDescent="0.25">
      <c r="A196" s="2" t="str">
        <f>""</f>
        <v/>
      </c>
      <c r="B196" s="3" t="str">
        <f>""</f>
        <v/>
      </c>
      <c r="C196" s="3" t="str">
        <f>""</f>
        <v/>
      </c>
      <c r="D196" s="3" t="str">
        <f>""</f>
        <v/>
      </c>
    </row>
    <row r="197" spans="1:4" x14ac:dyDescent="0.25">
      <c r="A197" s="2" t="str">
        <f>""</f>
        <v/>
      </c>
      <c r="B197" s="3" t="str">
        <f>""</f>
        <v/>
      </c>
      <c r="C197" s="3" t="str">
        <f>""</f>
        <v/>
      </c>
      <c r="D197" s="3" t="str">
        <f>""</f>
        <v/>
      </c>
    </row>
    <row r="198" spans="1:4" x14ac:dyDescent="0.25">
      <c r="A198" s="2" t="str">
        <f>""</f>
        <v/>
      </c>
      <c r="B198" s="3" t="str">
        <f>""</f>
        <v/>
      </c>
      <c r="C198" s="3" t="str">
        <f>""</f>
        <v/>
      </c>
      <c r="D198" s="3" t="str">
        <f>""</f>
        <v/>
      </c>
    </row>
    <row r="199" spans="1:4" x14ac:dyDescent="0.25">
      <c r="A199" s="2" t="str">
        <f>""</f>
        <v/>
      </c>
      <c r="B199" s="3" t="str">
        <f>""</f>
        <v/>
      </c>
      <c r="C199" s="3" t="str">
        <f>""</f>
        <v/>
      </c>
      <c r="D199" s="3" t="str">
        <f>""</f>
        <v/>
      </c>
    </row>
    <row r="200" spans="1:4" x14ac:dyDescent="0.25">
      <c r="A200" s="2" t="str">
        <f>""</f>
        <v/>
      </c>
      <c r="B200" s="3" t="str">
        <f>""</f>
        <v/>
      </c>
      <c r="C200" s="3" t="str">
        <f>""</f>
        <v/>
      </c>
      <c r="D200" s="3" t="str">
        <f>""</f>
        <v/>
      </c>
    </row>
    <row r="201" spans="1:4" x14ac:dyDescent="0.25">
      <c r="A201" s="2" t="str">
        <f>""</f>
        <v/>
      </c>
      <c r="B201" s="3" t="str">
        <f>""</f>
        <v/>
      </c>
      <c r="C201" s="3" t="str">
        <f>""</f>
        <v/>
      </c>
      <c r="D201" s="3" t="str">
        <f>""</f>
        <v/>
      </c>
    </row>
    <row r="202" spans="1:4" x14ac:dyDescent="0.25">
      <c r="A202" s="2" t="str">
        <f>""</f>
        <v/>
      </c>
      <c r="B202" s="3" t="str">
        <f>""</f>
        <v/>
      </c>
      <c r="C202" s="3" t="str">
        <f>""</f>
        <v/>
      </c>
      <c r="D202" s="3" t="str">
        <f>""</f>
        <v/>
      </c>
    </row>
    <row r="203" spans="1:4" x14ac:dyDescent="0.25">
      <c r="A203" s="2" t="str">
        <f>"DESPESAS"</f>
        <v>DESPESAS</v>
      </c>
      <c r="B203" s="3" t="str">
        <f>""</f>
        <v/>
      </c>
      <c r="C203" s="3" t="str">
        <f>""</f>
        <v/>
      </c>
      <c r="D203" s="3" t="str">
        <f>""</f>
        <v/>
      </c>
    </row>
    <row r="204" spans="1:4" x14ac:dyDescent="0.25">
      <c r="A204" s="2" t="str">
        <f>"3.0.0.00.00- DESPESAS"</f>
        <v>3.0.0.00.00- DESPESAS</v>
      </c>
      <c r="B204" s="10">
        <v>53592789.530000001</v>
      </c>
      <c r="C204" s="10">
        <v>22223870.93</v>
      </c>
      <c r="D204" s="10">
        <v>75816660.459999993</v>
      </c>
    </row>
    <row r="205" spans="1:4" x14ac:dyDescent="0.25">
      <c r="A205" s="2" t="str">
        <f>"3.1.0.00.00- DESPESAS OPERACIONAIS"</f>
        <v>3.1.0.00.00- DESPESAS OPERACIONAIS</v>
      </c>
      <c r="B205" s="10">
        <v>53592789.530000001</v>
      </c>
      <c r="C205" s="10">
        <v>22223870.93</v>
      </c>
      <c r="D205" s="10">
        <v>75816660.459999993</v>
      </c>
    </row>
    <row r="206" spans="1:4" x14ac:dyDescent="0.25">
      <c r="A206" s="2" t="str">
        <f>"3.1.1.00.00- SALARIOS ADICIONAIS E HONORARIOS"</f>
        <v>3.1.1.00.00- SALARIOS ADICIONAIS E HONORARIOS</v>
      </c>
      <c r="B206" s="10">
        <v>28066092.93</v>
      </c>
      <c r="C206" s="10">
        <v>10069759.939999999</v>
      </c>
      <c r="D206" s="10">
        <v>38135852.869999997</v>
      </c>
    </row>
    <row r="207" spans="1:4" x14ac:dyDescent="0.25">
      <c r="A207" s="2" t="str">
        <f>"3.1.1.00.01- Honorarios diretoria"</f>
        <v>3.1.1.00.01- Honorarios diretoria</v>
      </c>
      <c r="B207" s="10">
        <v>389344.33</v>
      </c>
      <c r="C207" s="10">
        <v>89146.42</v>
      </c>
      <c r="D207" s="10">
        <v>478490.75</v>
      </c>
    </row>
    <row r="208" spans="1:4" x14ac:dyDescent="0.25">
      <c r="A208" s="2" t="str">
        <f>"3.1.1.00.02- Honorarios conselho fiscal"</f>
        <v>3.1.1.00.02- Honorarios conselho fiscal</v>
      </c>
      <c r="B208" s="10">
        <v>26566.32</v>
      </c>
      <c r="C208" s="10">
        <v>5311.5</v>
      </c>
      <c r="D208" s="10">
        <v>31877.82</v>
      </c>
    </row>
    <row r="209" spans="1:4" x14ac:dyDescent="0.25">
      <c r="A209" s="2" t="str">
        <f>"3.1.1.00.03- Honorarios cons. administracao"</f>
        <v>3.1.1.00.03- Honorarios cons. administracao</v>
      </c>
      <c r="B209" s="10">
        <v>53086.15</v>
      </c>
      <c r="C209" s="10">
        <v>10613.71</v>
      </c>
      <c r="D209" s="10">
        <v>63699.86</v>
      </c>
    </row>
    <row r="210" spans="1:4" x14ac:dyDescent="0.25">
      <c r="A210" s="2" t="str">
        <f>"3.1.1.00.04- Salarios e adicionais"</f>
        <v>3.1.1.00.04- Salarios e adicionais</v>
      </c>
      <c r="B210" s="10">
        <v>22742788.73</v>
      </c>
      <c r="C210" s="10">
        <v>5039976.33</v>
      </c>
      <c r="D210" s="10">
        <v>27782765.059999999</v>
      </c>
    </row>
    <row r="211" spans="1:4" x14ac:dyDescent="0.25">
      <c r="A211" s="2" t="str">
        <f>"3.1.1.00.05- Ferias e abono pecuniario"</f>
        <v>3.1.1.00.05- Ferias e abono pecuniario</v>
      </c>
      <c r="B211" s="10">
        <v>2842988.57</v>
      </c>
      <c r="C211" s="10">
        <v>1652731.84</v>
      </c>
      <c r="D211" s="10">
        <v>4495720.41</v>
      </c>
    </row>
    <row r="212" spans="1:4" x14ac:dyDescent="0.25">
      <c r="A212" s="2" t="str">
        <f>"3.1.1.00.06- Decimo terceiro salario"</f>
        <v>3.1.1.00.06- Decimo terceiro salario</v>
      </c>
      <c r="B212" s="10">
        <v>1910288.14</v>
      </c>
      <c r="C212" s="10">
        <v>774495.61</v>
      </c>
      <c r="D212" s="10">
        <v>2684783.75</v>
      </c>
    </row>
    <row r="213" spans="1:4" x14ac:dyDescent="0.25">
      <c r="A213" s="2" t="str">
        <f>"3.1.1.00.07- Indenizacoes trabalhistas"</f>
        <v>3.1.1.00.07- Indenizacoes trabalhistas</v>
      </c>
      <c r="B213" s="10">
        <v>22439.52</v>
      </c>
      <c r="C213" s="10">
        <v>3270.53</v>
      </c>
      <c r="D213" s="10">
        <v>25710.05</v>
      </c>
    </row>
    <row r="214" spans="1:4" x14ac:dyDescent="0.25">
      <c r="A214" s="2" t="str">
        <f>"3.1.1.00.08- Bolsas de estagiario"</f>
        <v>3.1.1.00.08- Bolsas de estagiario</v>
      </c>
      <c r="B214" s="10">
        <v>78591.17</v>
      </c>
      <c r="C214" s="10">
        <v>12677.32</v>
      </c>
      <c r="D214" s="10">
        <v>91268.49</v>
      </c>
    </row>
    <row r="215" spans="1:4" x14ac:dyDescent="0.25">
      <c r="A215" s="2" t="str">
        <f>"3.1.1.00.10- Indenizações trabalhistas - ACT"</f>
        <v>3.1.1.00.10- Indenizações trabalhistas - ACT</v>
      </c>
      <c r="B215" s="10">
        <v>0</v>
      </c>
      <c r="C215" s="10">
        <v>2481536.6800000002</v>
      </c>
      <c r="D215" s="10">
        <v>2481536.6800000002</v>
      </c>
    </row>
    <row r="216" spans="1:4" x14ac:dyDescent="0.25">
      <c r="A216" s="2" t="str">
        <f>"3.1.2.01.00- ENCARGOS SOCIAIS"</f>
        <v>3.1.2.01.00- ENCARGOS SOCIAIS</v>
      </c>
      <c r="B216" s="10">
        <v>9988272.4700000007</v>
      </c>
      <c r="C216" s="10">
        <v>7833855.0700000003</v>
      </c>
      <c r="D216" s="10">
        <v>17822127.539999999</v>
      </c>
    </row>
    <row r="217" spans="1:4" x14ac:dyDescent="0.25">
      <c r="A217" s="2" t="str">
        <f>"3.1.2.01.01- INSS"</f>
        <v>3.1.2.01.01- INSS</v>
      </c>
      <c r="B217" s="10">
        <v>7776723.71</v>
      </c>
      <c r="C217" s="10">
        <v>6110649.0099999998</v>
      </c>
      <c r="D217" s="10">
        <v>13887372.720000001</v>
      </c>
    </row>
    <row r="218" spans="1:4" x14ac:dyDescent="0.25">
      <c r="A218" s="2" t="str">
        <f>"3.1.2.01.02- FGTS"</f>
        <v>3.1.2.01.02- FGTS</v>
      </c>
      <c r="B218" s="10">
        <v>2211548.7599999998</v>
      </c>
      <c r="C218" s="10">
        <v>1723206.06</v>
      </c>
      <c r="D218" s="10">
        <v>3934754.82</v>
      </c>
    </row>
    <row r="219" spans="1:4" x14ac:dyDescent="0.25">
      <c r="A219" s="2" t="str">
        <f>"3.1.2.02.00- OUTRAS DESPESAS COM PESSOAL"</f>
        <v>3.1.2.02.00- OUTRAS DESPESAS COM PESSOAL</v>
      </c>
      <c r="B219" s="10">
        <v>4321050.0199999996</v>
      </c>
      <c r="C219" s="10">
        <v>2168360.88</v>
      </c>
      <c r="D219" s="10">
        <v>6489410.9000000004</v>
      </c>
    </row>
    <row r="220" spans="1:4" x14ac:dyDescent="0.25">
      <c r="A220" s="2" t="str">
        <f>"3.1.2.02.01- Seguros de Vida"</f>
        <v>3.1.2.02.01- Seguros de Vida</v>
      </c>
      <c r="B220" s="10">
        <v>74949.440000000002</v>
      </c>
      <c r="C220" s="10">
        <v>12172.72</v>
      </c>
      <c r="D220" s="10">
        <v>87122.16</v>
      </c>
    </row>
    <row r="221" spans="1:4" x14ac:dyDescent="0.25">
      <c r="A221" s="2" t="str">
        <f>"3.1.2.02.02- Ass. Medica Odontologica"</f>
        <v>3.1.2.02.02- Ass. Medica Odontologica</v>
      </c>
      <c r="B221" s="10">
        <v>1276019.3700000001</v>
      </c>
      <c r="C221" s="10">
        <v>371179.39</v>
      </c>
      <c r="D221" s="10">
        <v>1647198.76</v>
      </c>
    </row>
    <row r="222" spans="1:4" x14ac:dyDescent="0.25">
      <c r="A222" s="2" t="str">
        <f>"3.1.2.02.03- Vale Transporte"</f>
        <v>3.1.2.02.03- Vale Transporte</v>
      </c>
      <c r="B222" s="10">
        <v>512846.86</v>
      </c>
      <c r="C222" s="10">
        <v>109651.95</v>
      </c>
      <c r="D222" s="10">
        <v>622498.81000000006</v>
      </c>
    </row>
    <row r="223" spans="1:4" x14ac:dyDescent="0.25">
      <c r="A223" s="2" t="str">
        <f>"3.1.2.02.04- Vale Refeicao/Alimentacao"</f>
        <v>3.1.2.02.04- Vale Refeicao/Alimentacao</v>
      </c>
      <c r="B223" s="10">
        <v>2337568.4700000002</v>
      </c>
      <c r="C223" s="10">
        <v>1625981.39</v>
      </c>
      <c r="D223" s="10">
        <v>3963549.86</v>
      </c>
    </row>
    <row r="224" spans="1:4" x14ac:dyDescent="0.25">
      <c r="A224" s="2" t="str">
        <f>"3.1.2.02.05- Compl. Auxilio Doenca"</f>
        <v>3.1.2.02.05- Compl. Auxilio Doenca</v>
      </c>
      <c r="B224" s="10">
        <v>17606.939999999999</v>
      </c>
      <c r="C224" s="10">
        <v>20349.740000000002</v>
      </c>
      <c r="D224" s="10">
        <v>37956.68</v>
      </c>
    </row>
    <row r="225" spans="1:4" x14ac:dyDescent="0.25">
      <c r="A225" s="2" t="str">
        <f>"3.1.2.02.06- Cursos e Treinamentos"</f>
        <v>3.1.2.02.06- Cursos e Treinamentos</v>
      </c>
      <c r="B225" s="10">
        <v>3148</v>
      </c>
      <c r="C225" s="10">
        <v>6208</v>
      </c>
      <c r="D225" s="10">
        <v>9356</v>
      </c>
    </row>
    <row r="226" spans="1:4" x14ac:dyDescent="0.25">
      <c r="A226" s="2" t="str">
        <f>"3.1.2.02.07- Auxilio Creche"</f>
        <v>3.1.2.02.07- Auxilio Creche</v>
      </c>
      <c r="B226" s="10">
        <v>98910.94</v>
      </c>
      <c r="C226" s="10">
        <v>22817.69</v>
      </c>
      <c r="D226" s="10">
        <v>121728.63</v>
      </c>
    </row>
    <row r="227" spans="1:4" x14ac:dyDescent="0.25">
      <c r="A227" s="2" t="str">
        <f>"3.1.3.00.00- MATERIAIS"</f>
        <v>3.1.3.00.00- MATERIAIS</v>
      </c>
      <c r="B227" s="10">
        <v>334785.62</v>
      </c>
      <c r="C227" s="10">
        <v>93045.81</v>
      </c>
      <c r="D227" s="10">
        <v>427831.43</v>
      </c>
    </row>
    <row r="228" spans="1:4" x14ac:dyDescent="0.25">
      <c r="A228" s="2" t="str">
        <f>"3.1.3.00.05- Placas/acessorios/mat.fixacao"</f>
        <v>3.1.3.00.05- Placas/acessorios/mat.fixacao</v>
      </c>
      <c r="B228" s="10">
        <v>12705</v>
      </c>
      <c r="C228" s="10">
        <v>0</v>
      </c>
      <c r="D228" s="10">
        <v>12705</v>
      </c>
    </row>
    <row r="229" spans="1:4" x14ac:dyDescent="0.25">
      <c r="A229" s="2" t="str">
        <f>"3.1.3.00.08- Material seguranca e uniformes"</f>
        <v>3.1.3.00.08- Material seguranca e uniformes</v>
      </c>
      <c r="B229" s="10">
        <v>1532.59</v>
      </c>
      <c r="C229" s="10">
        <v>190.9</v>
      </c>
      <c r="D229" s="10">
        <v>1723.49</v>
      </c>
    </row>
    <row r="230" spans="1:4" x14ac:dyDescent="0.25">
      <c r="A230" s="2" t="str">
        <f>"3.1.3.00.09- Material limp/conserv/copa/cozin"</f>
        <v>3.1.3.00.09- Material limp/conserv/copa/cozin</v>
      </c>
      <c r="B230" s="10">
        <v>61765.99</v>
      </c>
      <c r="C230" s="10">
        <v>15553.67</v>
      </c>
      <c r="D230" s="10">
        <v>77319.66</v>
      </c>
    </row>
    <row r="231" spans="1:4" x14ac:dyDescent="0.25">
      <c r="A231" s="2" t="str">
        <f>"3.1.3.00.10- Impressos e material de escritorio"</f>
        <v>3.1.3.00.10- Impressos e material de escritorio</v>
      </c>
      <c r="B231" s="10">
        <v>71733.84</v>
      </c>
      <c r="C231" s="10">
        <v>19807.97</v>
      </c>
      <c r="D231" s="10">
        <v>91541.81</v>
      </c>
    </row>
    <row r="232" spans="1:4" x14ac:dyDescent="0.25">
      <c r="A232" s="2" t="str">
        <f>"3.1.3.00.11- Materiais manut. inst. prediais"</f>
        <v>3.1.3.00.11- Materiais manut. inst. prediais</v>
      </c>
      <c r="B232" s="10">
        <v>36165.339999999997</v>
      </c>
      <c r="C232" s="10">
        <v>15700.84</v>
      </c>
      <c r="D232" s="10">
        <v>51866.18</v>
      </c>
    </row>
    <row r="233" spans="1:4" x14ac:dyDescent="0.25">
      <c r="A233" s="2" t="str">
        <f>"3.1.3.00.12- Carnes estacionamento rotativo"</f>
        <v>3.1.3.00.12- Carnes estacionamento rotativo</v>
      </c>
      <c r="B233" s="10">
        <v>132367.95000000001</v>
      </c>
      <c r="C233" s="10">
        <v>34684.65</v>
      </c>
      <c r="D233" s="10">
        <v>167052.6</v>
      </c>
    </row>
    <row r="234" spans="1:4" x14ac:dyDescent="0.25">
      <c r="A234" s="2" t="str">
        <f>"3.1.3.00.15- Materiais e supriment informatic"</f>
        <v>3.1.3.00.15- Materiais e supriment informatic</v>
      </c>
      <c r="B234" s="10">
        <v>14913.3</v>
      </c>
      <c r="C234" s="10">
        <v>5247.18</v>
      </c>
      <c r="D234" s="10">
        <v>20160.48</v>
      </c>
    </row>
    <row r="235" spans="1:4" x14ac:dyDescent="0.25">
      <c r="A235" s="2" t="str">
        <f>"3.1.3.00.17- Comb./lubrificantes"</f>
        <v>3.1.3.00.17- Comb./lubrificantes</v>
      </c>
      <c r="B235" s="10">
        <v>191.11</v>
      </c>
      <c r="C235" s="10">
        <v>0</v>
      </c>
      <c r="D235" s="10">
        <v>191.11</v>
      </c>
    </row>
    <row r="236" spans="1:4" x14ac:dyDescent="0.25">
      <c r="A236" s="2" t="str">
        <f>"3.1.3.00.19- Mat.man.cons.veiculos"</f>
        <v>3.1.3.00.19- Mat.man.cons.veiculos</v>
      </c>
      <c r="B236" s="10">
        <v>364</v>
      </c>
      <c r="C236" s="10">
        <v>0</v>
      </c>
      <c r="D236" s="10">
        <v>364</v>
      </c>
    </row>
    <row r="237" spans="1:4" x14ac:dyDescent="0.25">
      <c r="A237" s="2" t="str">
        <f>"3.1.3.00.99- Outros materiais"</f>
        <v>3.1.3.00.99- Outros materiais</v>
      </c>
      <c r="B237" s="10">
        <v>3046.5</v>
      </c>
      <c r="C237" s="10">
        <v>1860.6</v>
      </c>
      <c r="D237" s="10">
        <v>4907.1000000000004</v>
      </c>
    </row>
    <row r="238" spans="1:4" x14ac:dyDescent="0.25">
      <c r="A238" s="2" t="str">
        <f>"3.1.4.00.00- SERVICOS PRESTADOS POR TERCEIROS"</f>
        <v>3.1.4.00.00- SERVICOS PRESTADOS POR TERCEIROS</v>
      </c>
      <c r="B238" s="10">
        <v>8555540.0500000007</v>
      </c>
      <c r="C238" s="10">
        <v>1483861.31</v>
      </c>
      <c r="D238" s="10">
        <v>10039401.359999999</v>
      </c>
    </row>
    <row r="239" spans="1:4" x14ac:dyDescent="0.25">
      <c r="A239" s="2" t="str">
        <f>"3.1.4.00.01- Consultoria"</f>
        <v>3.1.4.00.01- Consultoria</v>
      </c>
      <c r="B239" s="10">
        <v>26600</v>
      </c>
      <c r="C239" s="10">
        <v>0</v>
      </c>
      <c r="D239" s="10">
        <v>26600</v>
      </c>
    </row>
    <row r="240" spans="1:4" x14ac:dyDescent="0.25">
      <c r="A240" s="2" t="str">
        <f>"3.1.4.00.03- Locacao de equipamentos"</f>
        <v>3.1.4.00.03- Locacao de equipamentos</v>
      </c>
      <c r="B240" s="10">
        <v>46939.9</v>
      </c>
      <c r="C240" s="10">
        <v>0</v>
      </c>
      <c r="D240" s="10">
        <v>46939.9</v>
      </c>
    </row>
    <row r="241" spans="1:4" x14ac:dyDescent="0.25">
      <c r="A241" s="2" t="str">
        <f>"3.1.4.00.08- Servicos de auditoria"</f>
        <v>3.1.4.00.08- Servicos de auditoria</v>
      </c>
      <c r="B241" s="10">
        <v>16333.28</v>
      </c>
      <c r="C241" s="10">
        <v>0</v>
      </c>
      <c r="D241" s="10">
        <v>16333.28</v>
      </c>
    </row>
    <row r="242" spans="1:4" x14ac:dyDescent="0.25">
      <c r="A242" s="2" t="str">
        <f>"3.1.4.00.10- Mao de obra contratada"</f>
        <v>3.1.4.00.10- Mao de obra contratada</v>
      </c>
      <c r="B242" s="10">
        <v>572083.5</v>
      </c>
      <c r="C242" s="10">
        <v>117524.57</v>
      </c>
      <c r="D242" s="10">
        <v>689608.07</v>
      </c>
    </row>
    <row r="243" spans="1:4" x14ac:dyDescent="0.25">
      <c r="A243" s="2" t="str">
        <f>"3.1.4.00.13- Publicidade e divulgacao"</f>
        <v>3.1.4.00.13- Publicidade e divulgacao</v>
      </c>
      <c r="B243" s="10">
        <v>75019.33</v>
      </c>
      <c r="C243" s="10">
        <v>14303.13</v>
      </c>
      <c r="D243" s="10">
        <v>89322.46</v>
      </c>
    </row>
    <row r="244" spans="1:4" x14ac:dyDescent="0.25">
      <c r="A244" s="2" t="str">
        <f>"3.1.4.00.14- Informatica-serv. e/ou locacao"</f>
        <v>3.1.4.00.14- Informatica-serv. e/ou locacao</v>
      </c>
      <c r="B244" s="10">
        <v>499448.78</v>
      </c>
      <c r="C244" s="10">
        <v>164100.47</v>
      </c>
      <c r="D244" s="10">
        <v>663549.25</v>
      </c>
    </row>
    <row r="245" spans="1:4" x14ac:dyDescent="0.25">
      <c r="A245" s="2" t="str">
        <f>"3.1.4.00.15- Outros serv. prestados - PF"</f>
        <v>3.1.4.00.15- Outros serv. prestados - PF</v>
      </c>
      <c r="B245" s="10">
        <v>67190.070000000007</v>
      </c>
      <c r="C245" s="10">
        <v>10994.18</v>
      </c>
      <c r="D245" s="10">
        <v>78184.25</v>
      </c>
    </row>
    <row r="246" spans="1:4" x14ac:dyDescent="0.25">
      <c r="A246" s="2" t="str">
        <f>"3.1.4.00.16- Outros serv. Prestados - PJ"</f>
        <v>3.1.4.00.16- Outros serv. Prestados - PJ</v>
      </c>
      <c r="B246" s="10">
        <v>129221.82</v>
      </c>
      <c r="C246" s="10">
        <v>15447.24</v>
      </c>
      <c r="D246" s="10">
        <v>144669.06</v>
      </c>
    </row>
    <row r="247" spans="1:4" x14ac:dyDescent="0.25">
      <c r="A247" s="2" t="str">
        <f>"3.1.4.00.17- Servicos postais"</f>
        <v>3.1.4.00.17- Servicos postais</v>
      </c>
      <c r="B247" s="10">
        <v>23701.18</v>
      </c>
      <c r="C247" s="10">
        <v>4861.1400000000003</v>
      </c>
      <c r="D247" s="10">
        <v>28562.32</v>
      </c>
    </row>
    <row r="248" spans="1:4" x14ac:dyDescent="0.25">
      <c r="A248" s="2" t="str">
        <f>"3.1.4.00.18- INSS s/servicos de terceiros"</f>
        <v>3.1.4.00.18- INSS s/servicos de terceiros</v>
      </c>
      <c r="B248" s="10">
        <v>12160.86</v>
      </c>
      <c r="C248" s="10">
        <v>2284.86</v>
      </c>
      <c r="D248" s="10">
        <v>14445.72</v>
      </c>
    </row>
    <row r="249" spans="1:4" x14ac:dyDescent="0.25">
      <c r="A249" s="2" t="str">
        <f>"3.1.4.00.19- Manut. imoveis/instal/equip.oper"</f>
        <v>3.1.4.00.19- Manut. imoveis/instal/equip.oper</v>
      </c>
      <c r="B249" s="10">
        <v>238815.67</v>
      </c>
      <c r="C249" s="10">
        <v>10267.77</v>
      </c>
      <c r="D249" s="10">
        <v>249083.44</v>
      </c>
    </row>
    <row r="250" spans="1:4" x14ac:dyDescent="0.25">
      <c r="A250" s="2" t="str">
        <f>"3.1.4.00.21- Manut. moveis e equip. Escritorio"</f>
        <v>3.1.4.00.21- Manut. moveis e equip. Escritorio</v>
      </c>
      <c r="B250" s="10">
        <v>5256.1</v>
      </c>
      <c r="C250" s="10">
        <v>14164.39</v>
      </c>
      <c r="D250" s="10">
        <v>19420.490000000002</v>
      </c>
    </row>
    <row r="251" spans="1:4" x14ac:dyDescent="0.25">
      <c r="A251" s="2" t="str">
        <f>"3.1.4.00.24- Loc.serv.mensageiro"</f>
        <v>3.1.4.00.24- Loc.serv.mensageiro</v>
      </c>
      <c r="B251" s="10">
        <v>34838.81</v>
      </c>
      <c r="C251" s="10">
        <v>0</v>
      </c>
      <c r="D251" s="10">
        <v>34838.81</v>
      </c>
    </row>
    <row r="252" spans="1:4" x14ac:dyDescent="0.25">
      <c r="A252" s="2" t="str">
        <f>"3.1.4.00.26- Serv.limp.conserv."</f>
        <v>3.1.4.00.26- Serv.limp.conserv.</v>
      </c>
      <c r="B252" s="10">
        <v>6899296.4699999997</v>
      </c>
      <c r="C252" s="10">
        <v>1149972.8999999999</v>
      </c>
      <c r="D252" s="10">
        <v>8049269.3700000001</v>
      </c>
    </row>
    <row r="253" spans="1:4" x14ac:dyDescent="0.25">
      <c r="A253" s="2" t="str">
        <f>"3.1.4.00.34- Comissao s/venda rotativo"</f>
        <v>3.1.4.00.34- Comissao s/venda rotativo</v>
      </c>
      <c r="B253" s="10">
        <v>289169.13</v>
      </c>
      <c r="C253" s="10">
        <v>58391.61</v>
      </c>
      <c r="D253" s="10">
        <v>347560.74</v>
      </c>
    </row>
    <row r="254" spans="1:4" x14ac:dyDescent="0.25">
      <c r="A254" s="2" t="str">
        <f>"3.1.4.00.36- (-) Desconto ISSQN conf Lei 9145 serv. P"</f>
        <v>3.1.4.00.36- (-) Desconto ISSQN conf Lei 9145 serv. P</v>
      </c>
      <c r="B254" s="10">
        <v>-380534.85</v>
      </c>
      <c r="C254" s="10">
        <v>-78450.95</v>
      </c>
      <c r="D254" s="10">
        <v>-458985.8</v>
      </c>
    </row>
    <row r="255" spans="1:4" x14ac:dyDescent="0.25">
      <c r="A255" s="2" t="str">
        <f>"3.1.5.00.00- TARIFAS PUBLICAS"</f>
        <v>3.1.5.00.00- TARIFAS PUBLICAS</v>
      </c>
      <c r="B255" s="10">
        <v>587069.88</v>
      </c>
      <c r="C255" s="10">
        <v>184572.25</v>
      </c>
      <c r="D255" s="10">
        <v>771642.13</v>
      </c>
    </row>
    <row r="256" spans="1:4" x14ac:dyDescent="0.25">
      <c r="A256" s="2" t="str">
        <f>"3.1.5.00.02- Energia eletrica"</f>
        <v>3.1.5.00.02- Energia eletrica</v>
      </c>
      <c r="B256" s="10">
        <v>439598.91</v>
      </c>
      <c r="C256" s="10">
        <v>144414.78</v>
      </c>
      <c r="D256" s="10">
        <v>584013.68999999994</v>
      </c>
    </row>
    <row r="257" spans="1:4" x14ac:dyDescent="0.25">
      <c r="A257" s="2" t="str">
        <f>"3.1.5.00.03- Telefone"</f>
        <v>3.1.5.00.03- Telefone</v>
      </c>
      <c r="B257" s="10">
        <v>147470.97</v>
      </c>
      <c r="C257" s="10">
        <v>40157.47</v>
      </c>
      <c r="D257" s="10">
        <v>187628.44</v>
      </c>
    </row>
    <row r="258" spans="1:4" x14ac:dyDescent="0.25">
      <c r="A258" s="2" t="str">
        <f>"3.1.6.00.00- DESPESAS TRIBUTARIAS"</f>
        <v>3.1.6.00.00- DESPESAS TRIBUTARIAS</v>
      </c>
      <c r="B258" s="10">
        <v>1153192.6599999999</v>
      </c>
      <c r="C258" s="10">
        <v>233657.28</v>
      </c>
      <c r="D258" s="10">
        <v>1386849.94</v>
      </c>
    </row>
    <row r="259" spans="1:4" x14ac:dyDescent="0.25">
      <c r="A259" s="2" t="str">
        <f>"3.1.6.00.01- Taxas legais"</f>
        <v>3.1.6.00.01- Taxas legais</v>
      </c>
      <c r="B259" s="10">
        <v>20405.669999999998</v>
      </c>
      <c r="C259" s="10">
        <v>214.82</v>
      </c>
      <c r="D259" s="10">
        <v>20620.490000000002</v>
      </c>
    </row>
    <row r="260" spans="1:4" x14ac:dyDescent="0.25">
      <c r="A260" s="2" t="str">
        <f>"3.1.6.00.03- IOF"</f>
        <v>3.1.6.00.03- IOF</v>
      </c>
      <c r="B260" s="10">
        <v>1100.01</v>
      </c>
      <c r="C260" s="10">
        <v>0</v>
      </c>
      <c r="D260" s="10">
        <v>1100.01</v>
      </c>
    </row>
    <row r="261" spans="1:4" x14ac:dyDescent="0.25">
      <c r="A261" s="2" t="str">
        <f>"3.1.6.00.06- PIS"</f>
        <v>3.1.6.00.06- PIS</v>
      </c>
      <c r="B261" s="10">
        <v>178266.75</v>
      </c>
      <c r="C261" s="10">
        <v>39942.81</v>
      </c>
      <c r="D261" s="10">
        <v>218209.56</v>
      </c>
    </row>
    <row r="262" spans="1:4" x14ac:dyDescent="0.25">
      <c r="A262" s="2" t="str">
        <f>"3.1.6.00.07- COFINS"</f>
        <v>3.1.6.00.07- COFINS</v>
      </c>
      <c r="B262" s="10">
        <v>821107.51</v>
      </c>
      <c r="C262" s="10">
        <v>183979.01</v>
      </c>
      <c r="D262" s="10">
        <v>1005086.52</v>
      </c>
    </row>
    <row r="263" spans="1:4" x14ac:dyDescent="0.25">
      <c r="A263" s="2" t="str">
        <f>"3.1.6.00.08- Multas indedutiveis"</f>
        <v>3.1.6.00.08- Multas indedutiveis</v>
      </c>
      <c r="B263" s="10">
        <v>26966.37</v>
      </c>
      <c r="C263" s="10">
        <v>0</v>
      </c>
      <c r="D263" s="10">
        <v>26966.37</v>
      </c>
    </row>
    <row r="264" spans="1:4" x14ac:dyDescent="0.25">
      <c r="A264" s="2" t="str">
        <f>"3.1.6.00.10- ISS s/faturamento"</f>
        <v>3.1.6.00.10- ISS s/faturamento</v>
      </c>
      <c r="B264" s="10">
        <v>9653.5300000000007</v>
      </c>
      <c r="C264" s="10">
        <v>2025.51</v>
      </c>
      <c r="D264" s="10">
        <v>11679.04</v>
      </c>
    </row>
    <row r="265" spans="1:4" x14ac:dyDescent="0.25">
      <c r="A265" s="2" t="str">
        <f>"3.1.6.00.11- Custas/despesas judiciais"</f>
        <v>3.1.6.00.11- Custas/despesas judiciais</v>
      </c>
      <c r="B265" s="10">
        <v>60</v>
      </c>
      <c r="C265" s="10">
        <v>0</v>
      </c>
      <c r="D265" s="10">
        <v>60</v>
      </c>
    </row>
    <row r="266" spans="1:4" x14ac:dyDescent="0.25">
      <c r="A266" s="2" t="str">
        <f>"3.1.6.00.14- Contrib.entid.classe"</f>
        <v>3.1.6.00.14- Contrib.entid.classe</v>
      </c>
      <c r="B266" s="10">
        <v>80718.09</v>
      </c>
      <c r="C266" s="10">
        <v>214.82</v>
      </c>
      <c r="D266" s="10">
        <v>80932.91</v>
      </c>
    </row>
    <row r="267" spans="1:4" x14ac:dyDescent="0.25">
      <c r="A267" s="2" t="str">
        <f>"3.1.6.00.15- INSS Serv.terceiros"</f>
        <v>3.1.6.00.15- INSS Serv.terceiros</v>
      </c>
      <c r="B267" s="10">
        <v>6912.88</v>
      </c>
      <c r="C267" s="10">
        <v>4323.95</v>
      </c>
      <c r="D267" s="10">
        <v>11236.83</v>
      </c>
    </row>
    <row r="268" spans="1:4" x14ac:dyDescent="0.25">
      <c r="A268" s="2" t="str">
        <f>"3.1.6.00.17- PIS s/ receitas financeiras"</f>
        <v>3.1.6.00.17- PIS s/ receitas financeiras</v>
      </c>
      <c r="B268" s="10">
        <v>1118.53</v>
      </c>
      <c r="C268" s="10">
        <v>413.25</v>
      </c>
      <c r="D268" s="10">
        <v>1531.78</v>
      </c>
    </row>
    <row r="269" spans="1:4" x14ac:dyDescent="0.25">
      <c r="A269" s="2" t="str">
        <f>"3.1.6.00.18- Cofins s/ receitas financeiras"</f>
        <v>3.1.6.00.18- Cofins s/ receitas financeiras</v>
      </c>
      <c r="B269" s="10">
        <v>6883.32</v>
      </c>
      <c r="C269" s="10">
        <v>2543.11</v>
      </c>
      <c r="D269" s="10">
        <v>9426.43</v>
      </c>
    </row>
    <row r="270" spans="1:4" x14ac:dyDescent="0.25">
      <c r="A270" s="2" t="str">
        <f>"3.1.7.00.00- DESPESAS FINANCEIRAS"</f>
        <v>3.1.7.00.00- DESPESAS FINANCEIRAS</v>
      </c>
      <c r="B270" s="10">
        <v>12028.82</v>
      </c>
      <c r="C270" s="10">
        <v>2199.86</v>
      </c>
      <c r="D270" s="10">
        <v>14228.68</v>
      </c>
    </row>
    <row r="271" spans="1:4" x14ac:dyDescent="0.25">
      <c r="A271" s="2" t="str">
        <f>"3.1.7.01.01- Juros passivos curto prazo"</f>
        <v>3.1.7.01.01- Juros passivos curto prazo</v>
      </c>
      <c r="B271" s="10">
        <v>61.07</v>
      </c>
      <c r="C271" s="10">
        <v>0</v>
      </c>
      <c r="D271" s="10">
        <v>61.07</v>
      </c>
    </row>
    <row r="272" spans="1:4" x14ac:dyDescent="0.25">
      <c r="A272" s="2" t="str">
        <f>"3.1.7.01.02- Despesas bancarias"</f>
        <v>3.1.7.01.02- Despesas bancarias</v>
      </c>
      <c r="B272" s="10">
        <v>11967.75</v>
      </c>
      <c r="C272" s="10">
        <v>2199.86</v>
      </c>
      <c r="D272" s="10">
        <v>14167.61</v>
      </c>
    </row>
    <row r="273" spans="1:4" x14ac:dyDescent="0.25">
      <c r="A273" s="2" t="str">
        <f>"3.1.8.00.00- OUTRAS DESPESAS"</f>
        <v>3.1.8.00.00- OUTRAS DESPESAS</v>
      </c>
      <c r="B273" s="10">
        <v>574757.07999999996</v>
      </c>
      <c r="C273" s="10">
        <v>154558.53</v>
      </c>
      <c r="D273" s="10">
        <v>729315.61</v>
      </c>
    </row>
    <row r="274" spans="1:4" x14ac:dyDescent="0.25">
      <c r="A274" s="2" t="str">
        <f>"3.1.8.00.01- Despesas de viagem"</f>
        <v>3.1.8.00.01- Despesas de viagem</v>
      </c>
      <c r="B274" s="10">
        <v>7561.91</v>
      </c>
      <c r="C274" s="10">
        <v>29779.95</v>
      </c>
      <c r="D274" s="10">
        <v>37341.86</v>
      </c>
    </row>
    <row r="275" spans="1:4" x14ac:dyDescent="0.25">
      <c r="A275" s="2" t="str">
        <f>"3.1.8.00.05- Depreciacao/amort"</f>
        <v>3.1.8.00.05- Depreciacao/amort</v>
      </c>
      <c r="B275" s="10">
        <v>115879.8</v>
      </c>
      <c r="C275" s="10">
        <v>21951.68</v>
      </c>
      <c r="D275" s="10">
        <v>137831.48000000001</v>
      </c>
    </row>
    <row r="276" spans="1:4" x14ac:dyDescent="0.25">
      <c r="A276" s="2" t="str">
        <f>"3.1.8.00.06- Seguros bens moveis e imoveis"</f>
        <v>3.1.8.00.06- Seguros bens moveis e imoveis</v>
      </c>
      <c r="B276" s="10">
        <v>3740.41</v>
      </c>
      <c r="C276" s="10">
        <v>709.62</v>
      </c>
      <c r="D276" s="10">
        <v>4450.03</v>
      </c>
    </row>
    <row r="277" spans="1:4" x14ac:dyDescent="0.25">
      <c r="A277" s="2" t="str">
        <f>"3.1.8.00.08- Alugueis e condominio"</f>
        <v>3.1.8.00.08- Alugueis e condominio</v>
      </c>
      <c r="B277" s="10">
        <v>20287.240000000002</v>
      </c>
      <c r="C277" s="10">
        <v>10143.620000000001</v>
      </c>
      <c r="D277" s="10">
        <v>30430.86</v>
      </c>
    </row>
    <row r="278" spans="1:4" x14ac:dyDescent="0.25">
      <c r="A278" s="2" t="str">
        <f>"3.1.8.00.12- Acoes judiciais terceiros"</f>
        <v>3.1.8.00.12- Acoes judiciais terceiros</v>
      </c>
      <c r="B278" s="10">
        <v>0</v>
      </c>
      <c r="C278" s="10">
        <v>3000</v>
      </c>
      <c r="D278" s="10">
        <v>3000</v>
      </c>
    </row>
    <row r="279" spans="1:4" x14ac:dyDescent="0.25">
      <c r="A279" s="2" t="str">
        <f>"3.1.8.00.16- Baixa de imobilizado"</f>
        <v>3.1.8.00.16- Baixa de imobilizado</v>
      </c>
      <c r="B279" s="10">
        <v>4022.49</v>
      </c>
      <c r="C279" s="10">
        <v>0</v>
      </c>
      <c r="D279" s="10">
        <v>4022.49</v>
      </c>
    </row>
    <row r="280" spans="1:4" x14ac:dyDescent="0.25">
      <c r="A280" s="2" t="str">
        <f>"3.1.8.00.17- Gastos com eventos e promocoes"</f>
        <v>3.1.8.00.17- Gastos com eventos e promocoes</v>
      </c>
      <c r="B280" s="10">
        <v>221365.2</v>
      </c>
      <c r="C280" s="10">
        <v>32047.55</v>
      </c>
      <c r="D280" s="10">
        <v>253412.75</v>
      </c>
    </row>
    <row r="281" spans="1:4" x14ac:dyDescent="0.25">
      <c r="A281" s="2" t="str">
        <f>"3.1.8.00.18- Provisao para perdas"</f>
        <v>3.1.8.00.18- Provisao para perdas</v>
      </c>
      <c r="B281" s="10">
        <v>179650.39</v>
      </c>
      <c r="C281" s="10">
        <v>30919.78</v>
      </c>
      <c r="D281" s="10">
        <v>210570.17</v>
      </c>
    </row>
    <row r="282" spans="1:4" x14ac:dyDescent="0.25">
      <c r="A282" s="2" t="str">
        <f>"3.1.8.00.23- Custas/Despesas Judiciais"</f>
        <v>3.1.8.00.23- Custas/Despesas Judiciais</v>
      </c>
      <c r="B282" s="10">
        <v>22007.13</v>
      </c>
      <c r="C282" s="10">
        <v>26006.33</v>
      </c>
      <c r="D282" s="10">
        <v>48013.46</v>
      </c>
    </row>
    <row r="283" spans="1:4" x14ac:dyDescent="0.25">
      <c r="A283" s="2" t="str">
        <f>"3.1.8.00.99- Despesas diversas"</f>
        <v>3.1.8.00.99- Despesas diversas</v>
      </c>
      <c r="B283" s="10">
        <v>242.51</v>
      </c>
      <c r="C283" s="10">
        <v>0</v>
      </c>
      <c r="D283" s="10">
        <v>242.51</v>
      </c>
    </row>
    <row r="284" spans="1:4" x14ac:dyDescent="0.25">
      <c r="A284" s="2" t="str">
        <f>""</f>
        <v/>
      </c>
      <c r="B284" s="3" t="str">
        <f>""</f>
        <v/>
      </c>
      <c r="C284" s="3" t="str">
        <f>""</f>
        <v/>
      </c>
      <c r="D284" s="3" t="str">
        <f>""</f>
        <v/>
      </c>
    </row>
    <row r="285" spans="1:4" x14ac:dyDescent="0.25">
      <c r="A285" s="2" t="str">
        <f>""</f>
        <v/>
      </c>
      <c r="B285" s="3" t="str">
        <f>""</f>
        <v/>
      </c>
      <c r="C285" s="3" t="str">
        <f>""</f>
        <v/>
      </c>
      <c r="D285" s="3" t="str">
        <f>""</f>
        <v/>
      </c>
    </row>
    <row r="286" spans="1:4" x14ac:dyDescent="0.25">
      <c r="A286" s="2" t="str">
        <f>""</f>
        <v/>
      </c>
      <c r="B286" s="3" t="str">
        <f>""</f>
        <v/>
      </c>
      <c r="C286" s="3" t="str">
        <f>""</f>
        <v/>
      </c>
      <c r="D286" s="3" t="str">
        <f>""</f>
        <v/>
      </c>
    </row>
    <row r="287" spans="1:4" x14ac:dyDescent="0.25">
      <c r="A287" s="2" t="str">
        <f>""</f>
        <v/>
      </c>
      <c r="B287" s="3" t="str">
        <f>""</f>
        <v/>
      </c>
      <c r="C287" s="3" t="str">
        <f>""</f>
        <v/>
      </c>
      <c r="D287" s="3" t="str">
        <f>""</f>
        <v/>
      </c>
    </row>
    <row r="288" spans="1:4" x14ac:dyDescent="0.25">
      <c r="A288" s="2" t="str">
        <f>""</f>
        <v/>
      </c>
      <c r="B288" s="3" t="str">
        <f>""</f>
        <v/>
      </c>
      <c r="C288" s="3" t="str">
        <f>""</f>
        <v/>
      </c>
      <c r="D288" s="3" t="str">
        <f>""</f>
        <v/>
      </c>
    </row>
    <row r="289" spans="1:4" x14ac:dyDescent="0.25">
      <c r="A289" s="2" t="str">
        <f>""</f>
        <v/>
      </c>
      <c r="B289" s="3" t="str">
        <f>""</f>
        <v/>
      </c>
      <c r="C289" s="3" t="str">
        <f>""</f>
        <v/>
      </c>
      <c r="D289" s="3" t="str">
        <f>""</f>
        <v/>
      </c>
    </row>
    <row r="290" spans="1:4" x14ac:dyDescent="0.25">
      <c r="A290" s="2" t="str">
        <f>""</f>
        <v/>
      </c>
      <c r="B290" s="3" t="str">
        <f>""</f>
        <v/>
      </c>
      <c r="C290" s="3" t="str">
        <f>""</f>
        <v/>
      </c>
      <c r="D290" s="3" t="str">
        <f>""</f>
        <v/>
      </c>
    </row>
    <row r="291" spans="1:4" x14ac:dyDescent="0.25">
      <c r="A291" s="2" t="str">
        <f>""</f>
        <v/>
      </c>
      <c r="B291" s="3" t="str">
        <f>""</f>
        <v/>
      </c>
      <c r="C291" s="3" t="str">
        <f>""</f>
        <v/>
      </c>
      <c r="D291" s="3" t="str">
        <f>""</f>
        <v/>
      </c>
    </row>
    <row r="292" spans="1:4" x14ac:dyDescent="0.25">
      <c r="A292" s="2" t="str">
        <f>""</f>
        <v/>
      </c>
      <c r="B292" s="3" t="str">
        <f>""</f>
        <v/>
      </c>
      <c r="C292" s="3" t="str">
        <f>""</f>
        <v/>
      </c>
      <c r="D292" s="3" t="str">
        <f>""</f>
        <v/>
      </c>
    </row>
    <row r="293" spans="1:4" x14ac:dyDescent="0.25">
      <c r="A293" s="2" t="str">
        <f>""</f>
        <v/>
      </c>
      <c r="B293" s="3" t="str">
        <f>""</f>
        <v/>
      </c>
      <c r="C293" s="3" t="str">
        <f>""</f>
        <v/>
      </c>
      <c r="D293" s="3" t="str">
        <f>""</f>
        <v/>
      </c>
    </row>
    <row r="294" spans="1:4" x14ac:dyDescent="0.25">
      <c r="A294" s="2" t="str">
        <f>"RECEITAS"</f>
        <v>RECEITAS</v>
      </c>
      <c r="B294" s="3" t="str">
        <f>""</f>
        <v/>
      </c>
      <c r="C294" s="3" t="str">
        <f>""</f>
        <v/>
      </c>
      <c r="D294" s="3" t="str">
        <f>""</f>
        <v/>
      </c>
    </row>
    <row r="295" spans="1:4" x14ac:dyDescent="0.25">
      <c r="A295" s="2" t="str">
        <f>"4.0.0.00.00- RECEITAS"</f>
        <v>4.0.0.00.00- RECEITAS</v>
      </c>
      <c r="B295" s="10">
        <v>52202894.240000002</v>
      </c>
      <c r="C295" s="10">
        <v>22088870.93</v>
      </c>
      <c r="D295" s="10">
        <v>74291765.170000002</v>
      </c>
    </row>
    <row r="296" spans="1:4" x14ac:dyDescent="0.25">
      <c r="A296" s="2" t="str">
        <f>"4.1.0.00.00- RECEITAS BHTRANS"</f>
        <v>4.1.0.00.00- RECEITAS BHTRANS</v>
      </c>
      <c r="B296" s="10">
        <v>51294967.770000003</v>
      </c>
      <c r="C296" s="10">
        <v>21825709.27</v>
      </c>
      <c r="D296" s="10">
        <v>73120677.040000007</v>
      </c>
    </row>
    <row r="297" spans="1:4" x14ac:dyDescent="0.25">
      <c r="A297" s="2" t="str">
        <f>"4.1.1.00.00- RECEITAS OPERACIONAIS"</f>
        <v>4.1.1.00.00- RECEITAS OPERACIONAIS</v>
      </c>
      <c r="B297" s="10">
        <v>50995455.409999996</v>
      </c>
      <c r="C297" s="10">
        <v>21766211.399999999</v>
      </c>
      <c r="D297" s="10">
        <v>72761666.810000002</v>
      </c>
    </row>
    <row r="298" spans="1:4" x14ac:dyDescent="0.25">
      <c r="A298" s="2" t="str">
        <f>"4.1.1.00.05- Midia taxi, escolar e suplementar"</f>
        <v>4.1.1.00.05- Midia taxi, escolar e suplementar</v>
      </c>
      <c r="B298" s="10">
        <v>18807.71</v>
      </c>
      <c r="C298" s="10">
        <v>4174.3</v>
      </c>
      <c r="D298" s="10">
        <v>22982.01</v>
      </c>
    </row>
    <row r="299" spans="1:4" x14ac:dyDescent="0.25">
      <c r="A299" s="2" t="str">
        <f>"4.1.1.00.06- Midia em onibus"</f>
        <v>4.1.1.00.06- Midia em onibus</v>
      </c>
      <c r="B299" s="10">
        <v>264814.58</v>
      </c>
      <c r="C299" s="10">
        <v>48091.55</v>
      </c>
      <c r="D299" s="10">
        <v>312906.13</v>
      </c>
    </row>
    <row r="300" spans="1:4" x14ac:dyDescent="0.25">
      <c r="A300" s="2" t="str">
        <f>"4.1.1.00.07- Midias diversas"</f>
        <v>4.1.1.00.07- Midias diversas</v>
      </c>
      <c r="B300" s="10">
        <v>38128.35</v>
      </c>
      <c r="C300" s="10">
        <v>15251.34</v>
      </c>
      <c r="D300" s="10">
        <v>53379.69</v>
      </c>
    </row>
    <row r="301" spans="1:4" x14ac:dyDescent="0.25">
      <c r="A301" s="2" t="str">
        <f>"4.1.1.00.08- Estacionamento Rotativo"</f>
        <v>4.1.1.00.08- Estacionamento Rotativo</v>
      </c>
      <c r="B301" s="10">
        <v>6762397.4500000002</v>
      </c>
      <c r="C301" s="10">
        <v>1633381.1</v>
      </c>
      <c r="D301" s="10">
        <v>8395778.5500000007</v>
      </c>
    </row>
    <row r="302" spans="1:4" x14ac:dyDescent="0.25">
      <c r="A302" s="2" t="str">
        <f>"4.1.1.00.10- Transf. financeira PBH"</f>
        <v>4.1.1.00.10- Transf. financeira PBH</v>
      </c>
      <c r="B302" s="10">
        <v>41226765.350000001</v>
      </c>
      <c r="C302" s="10">
        <v>19604516.77</v>
      </c>
      <c r="D302" s="10">
        <v>60831282.119999997</v>
      </c>
    </row>
    <row r="303" spans="1:4" x14ac:dyDescent="0.25">
      <c r="A303" s="2" t="str">
        <f>"4.1.1.00.16- Multas transporte coletivo"</f>
        <v>4.1.1.00.16- Multas transporte coletivo</v>
      </c>
      <c r="B303" s="10">
        <v>1796503.83</v>
      </c>
      <c r="C303" s="10">
        <v>309197.8</v>
      </c>
      <c r="D303" s="10">
        <v>2105701.63</v>
      </c>
    </row>
    <row r="304" spans="1:4" x14ac:dyDescent="0.25">
      <c r="A304" s="2" t="str">
        <f>"4.1.1.00.17- Multas transporte publico"</f>
        <v>4.1.1.00.17- Multas transporte publico</v>
      </c>
      <c r="B304" s="10">
        <v>669659.49</v>
      </c>
      <c r="C304" s="10">
        <v>129017.49</v>
      </c>
      <c r="D304" s="10">
        <v>798676.98</v>
      </c>
    </row>
    <row r="305" spans="1:4" x14ac:dyDescent="0.25">
      <c r="A305" s="2" t="str">
        <f>"4.1.1.00.19- Subconcessao frotas de taxi"</f>
        <v>4.1.1.00.19- Subconcessao frotas de taxi</v>
      </c>
      <c r="B305" s="10">
        <v>218378.65</v>
      </c>
      <c r="C305" s="10">
        <v>22581.05</v>
      </c>
      <c r="D305" s="10">
        <v>240959.7</v>
      </c>
    </row>
    <row r="306" spans="1:4" x14ac:dyDescent="0.25">
      <c r="A306" s="2" t="str">
        <f>"4.1.2.00.00- RECEITAS ESTACAO DIAMANTE"</f>
        <v>4.1.2.00.00- RECEITAS ESTACAO DIAMANTE</v>
      </c>
      <c r="B306" s="10">
        <v>217625.02</v>
      </c>
      <c r="C306" s="10">
        <v>45078.17</v>
      </c>
      <c r="D306" s="10">
        <v>262703.19</v>
      </c>
    </row>
    <row r="307" spans="1:4" x14ac:dyDescent="0.25">
      <c r="A307" s="2" t="str">
        <f>"4.1.2.00.01- Alugueis"</f>
        <v>4.1.2.00.01- Alugueis</v>
      </c>
      <c r="B307" s="10">
        <v>217625.02</v>
      </c>
      <c r="C307" s="10">
        <v>45078.17</v>
      </c>
      <c r="D307" s="10">
        <v>262703.19</v>
      </c>
    </row>
    <row r="308" spans="1:4" x14ac:dyDescent="0.25">
      <c r="A308" s="2" t="str">
        <f>"4.1.3.00.00- RECEITAS ESTACAO VENDA NOVA"</f>
        <v>4.1.3.00.00- RECEITAS ESTACAO VENDA NOVA</v>
      </c>
      <c r="B308" s="10">
        <v>78455.34</v>
      </c>
      <c r="C308" s="10">
        <v>0</v>
      </c>
      <c r="D308" s="10">
        <v>78455.34</v>
      </c>
    </row>
    <row r="309" spans="1:4" x14ac:dyDescent="0.25">
      <c r="A309" s="2" t="str">
        <f>"4.1.3.00.01- Alugueis"</f>
        <v>4.1.3.00.01- Alugueis</v>
      </c>
      <c r="B309" s="10">
        <v>78455.34</v>
      </c>
      <c r="C309" s="10">
        <v>0</v>
      </c>
      <c r="D309" s="10">
        <v>78455.34</v>
      </c>
    </row>
    <row r="310" spans="1:4" x14ac:dyDescent="0.25">
      <c r="A310" s="2" t="str">
        <f>"4.1.6.00.00- RECEITAS ESTACAO PAMPULHA"</f>
        <v>4.1.6.00.00- RECEITAS ESTACAO PAMPULHA</v>
      </c>
      <c r="B310" s="10">
        <v>3432</v>
      </c>
      <c r="C310" s="10">
        <v>14419.7</v>
      </c>
      <c r="D310" s="10">
        <v>17851.7</v>
      </c>
    </row>
    <row r="311" spans="1:4" x14ac:dyDescent="0.25">
      <c r="A311" s="2" t="str">
        <f>"4.1.6.00.01- Alugueis"</f>
        <v>4.1.6.00.01- Alugueis</v>
      </c>
      <c r="B311" s="10">
        <v>3432</v>
      </c>
      <c r="C311" s="10">
        <v>14419.7</v>
      </c>
      <c r="D311" s="10">
        <v>17851.7</v>
      </c>
    </row>
    <row r="312" spans="1:4" x14ac:dyDescent="0.25">
      <c r="A312" s="2" t="str">
        <f>"4.2.0.00.00- RECEITAS FINANCEIRAS"</f>
        <v>4.2.0.00.00- RECEITAS FINANCEIRAS</v>
      </c>
      <c r="B312" s="10">
        <v>172082.69</v>
      </c>
      <c r="C312" s="10">
        <v>63577.69</v>
      </c>
      <c r="D312" s="10">
        <v>235660.38</v>
      </c>
    </row>
    <row r="313" spans="1:4" x14ac:dyDescent="0.25">
      <c r="A313" s="2" t="str">
        <f>"4.2.1.00.00- RECEITAS FINANCEIRAS"</f>
        <v>4.2.1.00.00- RECEITAS FINANCEIRAS</v>
      </c>
      <c r="B313" s="10">
        <v>171578.42</v>
      </c>
      <c r="C313" s="10">
        <v>63491.35</v>
      </c>
      <c r="D313" s="10">
        <v>235069.77</v>
      </c>
    </row>
    <row r="314" spans="1:4" x14ac:dyDescent="0.25">
      <c r="A314" s="2" t="str">
        <f>"4.2.1.00.01- Rendimentos aplic. Financeira"</f>
        <v>4.2.1.00.01- Rendimentos aplic. Financeira</v>
      </c>
      <c r="B314" s="10">
        <v>170081.73</v>
      </c>
      <c r="C314" s="10">
        <v>62883.34</v>
      </c>
      <c r="D314" s="10">
        <v>232965.07</v>
      </c>
    </row>
    <row r="315" spans="1:4" x14ac:dyDescent="0.25">
      <c r="A315" s="2" t="str">
        <f>"4.2.1.00.02- Juros ativos"</f>
        <v>4.2.1.00.02- Juros ativos</v>
      </c>
      <c r="B315" s="10">
        <v>1496.69</v>
      </c>
      <c r="C315" s="10">
        <v>608.01</v>
      </c>
      <c r="D315" s="10">
        <v>2104.6999999999998</v>
      </c>
    </row>
    <row r="316" spans="1:4" x14ac:dyDescent="0.25">
      <c r="A316" s="2" t="str">
        <f>"4.2.2.00.00- VARIACOES MONETARIAS ATIVAS"</f>
        <v>4.2.2.00.00- VARIACOES MONETARIAS ATIVAS</v>
      </c>
      <c r="B316" s="10">
        <v>504.27</v>
      </c>
      <c r="C316" s="10">
        <v>86.34</v>
      </c>
      <c r="D316" s="10">
        <v>590.61</v>
      </c>
    </row>
    <row r="317" spans="1:4" x14ac:dyDescent="0.25">
      <c r="A317" s="2" t="str">
        <f>"4.2.2.00.01- Variações monetárias ativas"</f>
        <v>4.2.2.00.01- Variações monetárias ativas</v>
      </c>
      <c r="B317" s="10">
        <v>504.27</v>
      </c>
      <c r="C317" s="10">
        <v>86.34</v>
      </c>
      <c r="D317" s="10">
        <v>590.61</v>
      </c>
    </row>
    <row r="318" spans="1:4" x14ac:dyDescent="0.25">
      <c r="A318" s="2" t="str">
        <f>"4.3.0.00.00- OUTRAS RECEITAS"</f>
        <v>4.3.0.00.00- OUTRAS RECEITAS</v>
      </c>
      <c r="B318" s="10">
        <v>735843.78</v>
      </c>
      <c r="C318" s="10">
        <v>199583.97</v>
      </c>
      <c r="D318" s="10">
        <v>935427.75</v>
      </c>
    </row>
    <row r="319" spans="1:4" x14ac:dyDescent="0.25">
      <c r="A319" s="2" t="str">
        <f>"4.3.1.00.00- OUTRAS RECEITAS"</f>
        <v>4.3.1.00.00- OUTRAS RECEITAS</v>
      </c>
      <c r="B319" s="10">
        <v>735843.78</v>
      </c>
      <c r="C319" s="10">
        <v>199583.97</v>
      </c>
      <c r="D319" s="10">
        <v>935427.75</v>
      </c>
    </row>
    <row r="320" spans="1:4" x14ac:dyDescent="0.25">
      <c r="A320" s="2" t="str">
        <f>"4.3.1.00.04- Receitas Diversas"</f>
        <v>4.3.1.00.04- Receitas Diversas</v>
      </c>
      <c r="B320" s="10">
        <v>376007.1</v>
      </c>
      <c r="C320" s="10">
        <v>77312.3</v>
      </c>
      <c r="D320" s="10">
        <v>453319.4</v>
      </c>
    </row>
    <row r="321" spans="1:4" x14ac:dyDescent="0.25">
      <c r="A321" s="2" t="str">
        <f>"4.3.1.00.07- Concessão de Abrigo de ônibus"</f>
        <v>4.3.1.00.07- Concessão de Abrigo de ônibus</v>
      </c>
      <c r="B321" s="10">
        <v>359836.68</v>
      </c>
      <c r="C321" s="10">
        <v>122271.67</v>
      </c>
      <c r="D321" s="10">
        <v>482108.35</v>
      </c>
    </row>
    <row r="322" spans="1:4" x14ac:dyDescent="0.25">
      <c r="A322" s="2" t="str">
        <f>""</f>
        <v/>
      </c>
      <c r="B322" s="3" t="str">
        <f>""</f>
        <v/>
      </c>
      <c r="C322" s="3" t="str">
        <f>""</f>
        <v/>
      </c>
      <c r="D322" s="3" t="str">
        <f>""</f>
        <v/>
      </c>
    </row>
    <row r="323" spans="1:4" x14ac:dyDescent="0.25">
      <c r="A323" s="2" t="str">
        <f>""</f>
        <v/>
      </c>
      <c r="B323" s="3" t="str">
        <f>""</f>
        <v/>
      </c>
      <c r="C323" s="3" t="str">
        <f>""</f>
        <v/>
      </c>
      <c r="D323" s="3" t="str">
        <f>""</f>
        <v/>
      </c>
    </row>
    <row r="324" spans="1:4" x14ac:dyDescent="0.25">
      <c r="A324" s="2" t="str">
        <f>""</f>
        <v/>
      </c>
      <c r="B324" s="3" t="str">
        <f>""</f>
        <v/>
      </c>
      <c r="C324" s="3" t="str">
        <f>""</f>
        <v/>
      </c>
      <c r="D324" s="3" t="str">
        <f>""</f>
        <v/>
      </c>
    </row>
    <row r="325" spans="1:4" x14ac:dyDescent="0.25">
      <c r="A325" s="2" t="str">
        <f>""</f>
        <v/>
      </c>
      <c r="B325" s="3" t="str">
        <f>""</f>
        <v/>
      </c>
      <c r="C325" s="3" t="str">
        <f>""</f>
        <v/>
      </c>
      <c r="D325" s="3" t="str">
        <f>""</f>
        <v/>
      </c>
    </row>
    <row r="326" spans="1:4" x14ac:dyDescent="0.25">
      <c r="A326" s="2" t="str">
        <f>""</f>
        <v/>
      </c>
      <c r="B326" s="3" t="str">
        <f>""</f>
        <v/>
      </c>
      <c r="C326" s="3" t="str">
        <f>""</f>
        <v/>
      </c>
      <c r="D326" s="3" t="str">
        <f>""</f>
        <v/>
      </c>
    </row>
    <row r="327" spans="1:4" x14ac:dyDescent="0.25">
      <c r="A327" s="2" t="str">
        <f>""</f>
        <v/>
      </c>
      <c r="B327" s="3" t="str">
        <f>""</f>
        <v/>
      </c>
      <c r="C327" s="3" t="str">
        <f>""</f>
        <v/>
      </c>
      <c r="D327" s="3" t="str">
        <f>""</f>
        <v/>
      </c>
    </row>
    <row r="328" spans="1:4" x14ac:dyDescent="0.25">
      <c r="A328" s="2" t="str">
        <f>""</f>
        <v/>
      </c>
      <c r="B328" s="3" t="str">
        <f>""</f>
        <v/>
      </c>
      <c r="C328" s="3" t="str">
        <f>""</f>
        <v/>
      </c>
      <c r="D328" s="3" t="str">
        <f>""</f>
        <v/>
      </c>
    </row>
    <row r="329" spans="1:4" x14ac:dyDescent="0.25">
      <c r="A329" s="2" t="str">
        <f>""</f>
        <v/>
      </c>
      <c r="B329" s="3" t="str">
        <f>""</f>
        <v/>
      </c>
      <c r="C329" s="3" t="str">
        <f>""</f>
        <v/>
      </c>
      <c r="D329" s="3" t="str">
        <f>""</f>
        <v/>
      </c>
    </row>
    <row r="330" spans="1:4" x14ac:dyDescent="0.25">
      <c r="A330" s="2" t="str">
        <f>""</f>
        <v/>
      </c>
      <c r="B330" s="3" t="str">
        <f>""</f>
        <v/>
      </c>
      <c r="C330" s="3" t="str">
        <f>""</f>
        <v/>
      </c>
      <c r="D330" s="3" t="str">
        <f>""</f>
        <v/>
      </c>
    </row>
    <row r="331" spans="1:4" x14ac:dyDescent="0.25">
      <c r="A331" s="2" t="str">
        <f>""</f>
        <v/>
      </c>
      <c r="B331" s="3" t="str">
        <f>""</f>
        <v/>
      </c>
      <c r="C331" s="3" t="str">
        <f>""</f>
        <v/>
      </c>
      <c r="D331" s="3" t="str">
        <f>""</f>
        <v/>
      </c>
    </row>
    <row r="332" spans="1:4" x14ac:dyDescent="0.25">
      <c r="A332" s="2" t="str">
        <f>""</f>
        <v/>
      </c>
      <c r="B332" s="3" t="str">
        <f>""</f>
        <v/>
      </c>
      <c r="C332" s="3" t="str">
        <f>""</f>
        <v/>
      </c>
      <c r="D332" s="3" t="str">
        <f>""</f>
        <v/>
      </c>
    </row>
    <row r="333" spans="1:4" x14ac:dyDescent="0.25">
      <c r="A333" s="2" t="str">
        <f>""</f>
        <v/>
      </c>
      <c r="B333" s="3" t="str">
        <f>""</f>
        <v/>
      </c>
      <c r="C333" s="3" t="str">
        <f>""</f>
        <v/>
      </c>
      <c r="D333" s="3" t="str">
        <f>""</f>
        <v/>
      </c>
    </row>
    <row r="334" spans="1:4" x14ac:dyDescent="0.25">
      <c r="A334" s="2" t="str">
        <f>""</f>
        <v/>
      </c>
      <c r="B334" s="3" t="str">
        <f>""</f>
        <v/>
      </c>
      <c r="C334" s="3" t="str">
        <f>""</f>
        <v/>
      </c>
      <c r="D334" s="3" t="str">
        <f>""</f>
        <v/>
      </c>
    </row>
    <row r="335" spans="1:4" x14ac:dyDescent="0.25">
      <c r="A335" s="2" t="str">
        <f>""</f>
        <v/>
      </c>
      <c r="B335" s="3" t="str">
        <f>""</f>
        <v/>
      </c>
      <c r="C335" s="3" t="str">
        <f>""</f>
        <v/>
      </c>
      <c r="D335" s="3" t="str">
        <f>""</f>
        <v/>
      </c>
    </row>
    <row r="336" spans="1:4" x14ac:dyDescent="0.25">
      <c r="A336" s="2" t="str">
        <f>""</f>
        <v/>
      </c>
      <c r="B336" s="3" t="str">
        <f>""</f>
        <v/>
      </c>
      <c r="C336" s="3" t="str">
        <f>""</f>
        <v/>
      </c>
      <c r="D336" s="3" t="str">
        <f>""</f>
        <v/>
      </c>
    </row>
    <row r="337" spans="1:4" x14ac:dyDescent="0.25">
      <c r="A337" s="2" t="str">
        <f>""</f>
        <v/>
      </c>
      <c r="B337" s="3" t="str">
        <f>""</f>
        <v/>
      </c>
      <c r="C337" s="3" t="str">
        <f>""</f>
        <v/>
      </c>
      <c r="D337" s="3" t="str">
        <f>""</f>
        <v/>
      </c>
    </row>
    <row r="338" spans="1:4" x14ac:dyDescent="0.25">
      <c r="A338" s="2" t="str">
        <f>""</f>
        <v/>
      </c>
      <c r="B338" s="3" t="str">
        <f>""</f>
        <v/>
      </c>
      <c r="C338" s="3" t="str">
        <f>""</f>
        <v/>
      </c>
      <c r="D338" s="3" t="str">
        <f>""</f>
        <v/>
      </c>
    </row>
    <row r="339" spans="1:4" x14ac:dyDescent="0.25">
      <c r="A339" s="2" t="str">
        <f>""</f>
        <v/>
      </c>
      <c r="B339" s="3" t="str">
        <f>""</f>
        <v/>
      </c>
      <c r="C339" s="3" t="str">
        <f>""</f>
        <v/>
      </c>
      <c r="D339" s="3" t="str">
        <f>""</f>
        <v/>
      </c>
    </row>
    <row r="340" spans="1:4" x14ac:dyDescent="0.25">
      <c r="A340" s="2" t="str">
        <f>""</f>
        <v/>
      </c>
      <c r="B340" s="3" t="str">
        <f>""</f>
        <v/>
      </c>
      <c r="C340" s="3" t="str">
        <f>""</f>
        <v/>
      </c>
      <c r="D340" s="3" t="str">
        <f>""</f>
        <v/>
      </c>
    </row>
    <row r="341" spans="1:4" x14ac:dyDescent="0.25">
      <c r="A341" s="2" t="str">
        <f>""</f>
        <v/>
      </c>
      <c r="B341" s="3" t="str">
        <f>""</f>
        <v/>
      </c>
      <c r="C341" s="3" t="str">
        <f>""</f>
        <v/>
      </c>
      <c r="D341" s="3" t="str">
        <f>""</f>
        <v/>
      </c>
    </row>
    <row r="342" spans="1:4" x14ac:dyDescent="0.25">
      <c r="A342" s="2" t="str">
        <f>""</f>
        <v/>
      </c>
      <c r="B342" s="3" t="str">
        <f>""</f>
        <v/>
      </c>
      <c r="C342" s="3" t="str">
        <f>""</f>
        <v/>
      </c>
      <c r="D342" s="3" t="str">
        <f>""</f>
        <v/>
      </c>
    </row>
    <row r="343" spans="1:4" x14ac:dyDescent="0.25">
      <c r="A343" s="2" t="str">
        <f>""</f>
        <v/>
      </c>
      <c r="B343" s="3" t="str">
        <f>""</f>
        <v/>
      </c>
      <c r="C343" s="3" t="str">
        <f>""</f>
        <v/>
      </c>
      <c r="D343" s="3" t="str">
        <f>""</f>
        <v/>
      </c>
    </row>
    <row r="344" spans="1:4" x14ac:dyDescent="0.25">
      <c r="A344" s="2" t="str">
        <f>""</f>
        <v/>
      </c>
      <c r="B344" s="3" t="str">
        <f>""</f>
        <v/>
      </c>
      <c r="C344" s="3" t="str">
        <f>""</f>
        <v/>
      </c>
      <c r="D344" s="3" t="str">
        <f>""</f>
        <v/>
      </c>
    </row>
    <row r="345" spans="1:4" x14ac:dyDescent="0.25">
      <c r="A345" s="2" t="str">
        <f>""</f>
        <v/>
      </c>
      <c r="B345" s="3" t="str">
        <f>""</f>
        <v/>
      </c>
      <c r="C345" s="3" t="str">
        <f>""</f>
        <v/>
      </c>
      <c r="D345" s="3" t="str">
        <f>""</f>
        <v/>
      </c>
    </row>
    <row r="346" spans="1:4" ht="15.75" thickBot="1" x14ac:dyDescent="0.3">
      <c r="A346" s="4" t="str">
        <f>"APURACAO DE RESULTADOS"</f>
        <v>APURACAO DE RESULTADOS</v>
      </c>
      <c r="B346" s="5" t="str">
        <f>""</f>
        <v/>
      </c>
      <c r="C346" s="5" t="str">
        <f>""</f>
        <v/>
      </c>
      <c r="D346" s="5" t="str">
        <f>""</f>
        <v/>
      </c>
    </row>
    <row r="347" spans="1:4" x14ac:dyDescent="0.25">
      <c r="A347" t="s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4"/>
  <sheetViews>
    <sheetView workbookViewId="0">
      <selection activeCell="E1" sqref="E1"/>
    </sheetView>
  </sheetViews>
  <sheetFormatPr defaultRowHeight="15" x14ac:dyDescent="0.25"/>
  <cols>
    <col min="1" max="1" width="71.5703125" bestFit="1" customWidth="1"/>
    <col min="2" max="2" width="14.5703125" bestFit="1" customWidth="1"/>
    <col min="3" max="3" width="14.28515625" bestFit="1" customWidth="1"/>
    <col min="4" max="4" width="14.5703125" bestFit="1" customWidth="1"/>
  </cols>
  <sheetData>
    <row r="1" spans="1:4" ht="19.5" thickBot="1" x14ac:dyDescent="0.35">
      <c r="A1" s="1" t="s">
        <v>7</v>
      </c>
      <c r="B1" s="1"/>
      <c r="C1" s="1"/>
      <c r="D1" s="1"/>
    </row>
    <row r="2" spans="1:4" ht="15.75" thickBot="1" x14ac:dyDescent="0.3">
      <c r="A2" s="8" t="s">
        <v>13</v>
      </c>
      <c r="B2" s="9" t="s">
        <v>14</v>
      </c>
      <c r="C2" s="9" t="s">
        <v>15</v>
      </c>
      <c r="D2" s="9" t="s">
        <v>16</v>
      </c>
    </row>
    <row r="3" spans="1:4" x14ac:dyDescent="0.25">
      <c r="A3" s="6" t="str">
        <f>"ATIVO"</f>
        <v>ATIVO</v>
      </c>
      <c r="B3" s="7" t="str">
        <f>""</f>
        <v/>
      </c>
      <c r="C3" s="7" t="str">
        <f>""</f>
        <v/>
      </c>
      <c r="D3" s="7" t="str">
        <f>""</f>
        <v/>
      </c>
    </row>
    <row r="4" spans="1:4" x14ac:dyDescent="0.25">
      <c r="A4" s="2" t="str">
        <f>"1.0.0.00.00- ATIVO"</f>
        <v>1.0.0.00.00- ATIVO</v>
      </c>
      <c r="B4" s="10">
        <v>38063044.909999996</v>
      </c>
      <c r="C4" s="10">
        <v>2288200.17</v>
      </c>
      <c r="D4" s="10">
        <v>40351245.079999998</v>
      </c>
    </row>
    <row r="5" spans="1:4" x14ac:dyDescent="0.25">
      <c r="A5" s="2" t="str">
        <f>"1.1.0.00.00- ATIVO CIRCULANTE"</f>
        <v>1.1.0.00.00- ATIVO CIRCULANTE</v>
      </c>
      <c r="B5" s="10">
        <v>27060743.370000001</v>
      </c>
      <c r="C5" s="10">
        <v>2120824.5499999998</v>
      </c>
      <c r="D5" s="10">
        <v>29181567.920000002</v>
      </c>
    </row>
    <row r="6" spans="1:4" x14ac:dyDescent="0.25">
      <c r="A6" s="2" t="str">
        <f>"1.1.1.00.00- DISPONIVEL"</f>
        <v>1.1.1.00.00- DISPONIVEL</v>
      </c>
      <c r="B6" s="10">
        <v>12355361.18</v>
      </c>
      <c r="C6" s="10">
        <v>1098515.25</v>
      </c>
      <c r="D6" s="10">
        <v>13453876.43</v>
      </c>
    </row>
    <row r="7" spans="1:4" x14ac:dyDescent="0.25">
      <c r="A7" s="2" t="str">
        <f>"1.1.1.01.00- CAIXA GERAL"</f>
        <v>1.1.1.01.00- CAIXA GERAL</v>
      </c>
      <c r="B7" s="10">
        <v>0</v>
      </c>
      <c r="C7" s="10">
        <v>480</v>
      </c>
      <c r="D7" s="10">
        <v>480</v>
      </c>
    </row>
    <row r="8" spans="1:4" x14ac:dyDescent="0.25">
      <c r="A8" s="2" t="str">
        <f>"1.1.1.01.04- Caixa - Georf"</f>
        <v>1.1.1.01.04- Caixa - Georf</v>
      </c>
      <c r="B8" s="10">
        <v>0</v>
      </c>
      <c r="C8" s="10">
        <v>320</v>
      </c>
      <c r="D8" s="10">
        <v>320</v>
      </c>
    </row>
    <row r="9" spans="1:4" x14ac:dyDescent="0.25">
      <c r="A9" s="2" t="str">
        <f>"1.1.1.01.09- Caixa - GEAMP"</f>
        <v>1.1.1.01.09- Caixa - GEAMP</v>
      </c>
      <c r="B9" s="10">
        <v>0</v>
      </c>
      <c r="C9" s="10">
        <v>160</v>
      </c>
      <c r="D9" s="10">
        <v>160</v>
      </c>
    </row>
    <row r="10" spans="1:4" x14ac:dyDescent="0.25">
      <c r="A10" s="2" t="str">
        <f>"1.1.1.02.00- BANCOS C/MOVIMENTO"</f>
        <v>1.1.1.02.00- BANCOS C/MOVIMENTO</v>
      </c>
      <c r="B10" s="10">
        <v>313740.25</v>
      </c>
      <c r="C10" s="10">
        <v>-1196.47</v>
      </c>
      <c r="D10" s="10">
        <v>312543.78000000003</v>
      </c>
    </row>
    <row r="11" spans="1:4" x14ac:dyDescent="0.25">
      <c r="A11" s="2" t="str">
        <f>"1.1.1.02.11- Banco do Brasil S/A - 720.000-5"</f>
        <v>1.1.1.02.11- Banco do Brasil S/A - 720.000-5</v>
      </c>
      <c r="B11" s="10">
        <v>224.12</v>
      </c>
      <c r="C11" s="10">
        <v>-224.12</v>
      </c>
      <c r="D11" s="10">
        <v>0</v>
      </c>
    </row>
    <row r="12" spans="1:4" x14ac:dyDescent="0.25">
      <c r="A12" s="2" t="str">
        <f>"1.1.1.02.12- Banco do Brasil S/A - 720.001-3"</f>
        <v>1.1.1.02.12- Banco do Brasil S/A - 720.001-3</v>
      </c>
      <c r="B12" s="10">
        <v>7216</v>
      </c>
      <c r="C12" s="10">
        <v>-855.89</v>
      </c>
      <c r="D12" s="10">
        <v>6360.11</v>
      </c>
    </row>
    <row r="13" spans="1:4" x14ac:dyDescent="0.25">
      <c r="A13" s="2" t="str">
        <f>"1.1.1.02.15- Banco do Brasil S/A - 7.218-4"</f>
        <v>1.1.1.02.15- Banco do Brasil S/A - 7.218-4</v>
      </c>
      <c r="B13" s="10">
        <v>142.5</v>
      </c>
      <c r="C13" s="10">
        <v>3421.5</v>
      </c>
      <c r="D13" s="10">
        <v>3564</v>
      </c>
    </row>
    <row r="14" spans="1:4" x14ac:dyDescent="0.25">
      <c r="A14" s="2" t="str">
        <f>"1.1.1.02.19- Caixa Econ. Federal-C/C 1223-6"</f>
        <v>1.1.1.02.19- Caixa Econ. Federal-C/C 1223-6</v>
      </c>
      <c r="B14" s="10">
        <v>15242.42</v>
      </c>
      <c r="C14" s="10">
        <v>-30</v>
      </c>
      <c r="D14" s="10">
        <v>15212.42</v>
      </c>
    </row>
    <row r="15" spans="1:4" x14ac:dyDescent="0.25">
      <c r="A15" s="2" t="str">
        <f>"1.1.1.02.29- Caixa Econômica Federal - 3289-3 Arrecad"</f>
        <v>1.1.1.02.29- Caixa Econômica Federal - 3289-3 Arrecad</v>
      </c>
      <c r="B15" s="10">
        <v>5845.95</v>
      </c>
      <c r="C15" s="10">
        <v>15333.13</v>
      </c>
      <c r="D15" s="10">
        <v>21179.08</v>
      </c>
    </row>
    <row r="16" spans="1:4" x14ac:dyDescent="0.25">
      <c r="A16" s="2" t="str">
        <f>"1.1.1.02.31- Caixa Economica Federal - 3293-1 ROT"</f>
        <v>1.1.1.02.31- Caixa Economica Federal - 3293-1 ROT</v>
      </c>
      <c r="B16" s="10">
        <v>0</v>
      </c>
      <c r="C16" s="10">
        <v>20553.37</v>
      </c>
      <c r="D16" s="10">
        <v>20553.37</v>
      </c>
    </row>
    <row r="17" spans="1:4" x14ac:dyDescent="0.25">
      <c r="A17" s="2" t="str">
        <f>"1.1.1.02.32- Caixa Econômica Federal - 3292-3 Leilão"</f>
        <v>1.1.1.02.32- Caixa Econômica Federal - 3292-3 Leilão</v>
      </c>
      <c r="B17" s="10">
        <v>80</v>
      </c>
      <c r="C17" s="10">
        <v>0</v>
      </c>
      <c r="D17" s="10">
        <v>80</v>
      </c>
    </row>
    <row r="18" spans="1:4" x14ac:dyDescent="0.25">
      <c r="A18" s="2" t="str">
        <f>"1.1.1.02.33- Caixa Econômica Federal - 3295-8Leilão13"</f>
        <v>1.1.1.02.33- Caixa Econômica Federal - 3295-8Leilão13</v>
      </c>
      <c r="B18" s="10">
        <v>80</v>
      </c>
      <c r="C18" s="10">
        <v>0</v>
      </c>
      <c r="D18" s="10">
        <v>80</v>
      </c>
    </row>
    <row r="19" spans="1:4" x14ac:dyDescent="0.25">
      <c r="A19" s="2" t="str">
        <f>"1.1.1.02.37- Caixa Econômica Federal - 3299-0Leilão16"</f>
        <v>1.1.1.02.37- Caixa Econômica Federal - 3299-0Leilão16</v>
      </c>
      <c r="B19" s="10">
        <v>80</v>
      </c>
      <c r="C19" s="10">
        <v>0</v>
      </c>
      <c r="D19" s="10">
        <v>80</v>
      </c>
    </row>
    <row r="20" spans="1:4" x14ac:dyDescent="0.25">
      <c r="A20" s="2" t="str">
        <f>"1.1.1.02.39- Caixa Econômica Federal - 3301-6 Mídia"</f>
        <v>1.1.1.02.39- Caixa Econômica Federal - 3301-6 Mídia</v>
      </c>
      <c r="B20" s="10">
        <v>13432.51</v>
      </c>
      <c r="C20" s="10">
        <v>5295.92</v>
      </c>
      <c r="D20" s="10">
        <v>18728.43</v>
      </c>
    </row>
    <row r="21" spans="1:4" x14ac:dyDescent="0.25">
      <c r="A21" s="2" t="str">
        <f>"1.1.1.02.40- Caixa Econômica Federal - 3302-4 Mídia"</f>
        <v>1.1.1.02.40- Caixa Econômica Federal - 3302-4 Mídia</v>
      </c>
      <c r="B21" s="10">
        <v>48091.55</v>
      </c>
      <c r="C21" s="10">
        <v>11450.29</v>
      </c>
      <c r="D21" s="10">
        <v>59541.84</v>
      </c>
    </row>
    <row r="22" spans="1:4" x14ac:dyDescent="0.25">
      <c r="A22" s="2" t="str">
        <f>"1.1.1.02.41- Caixa Econômica Federal - 3303-2Rotativo"</f>
        <v>1.1.1.02.41- Caixa Econômica Federal - 3303-2Rotativo</v>
      </c>
      <c r="B22" s="10">
        <v>223305.2</v>
      </c>
      <c r="C22" s="10">
        <v>-57724.67</v>
      </c>
      <c r="D22" s="10">
        <v>165580.53</v>
      </c>
    </row>
    <row r="23" spans="1:4" x14ac:dyDescent="0.25">
      <c r="A23" s="2" t="str">
        <f>"1.1.1.02.46- Caixa Econômica Federal - 3309-1 Rot int"</f>
        <v>1.1.1.02.46- Caixa Econômica Federal - 3309-1 Rot int</v>
      </c>
      <c r="B23" s="10">
        <v>0</v>
      </c>
      <c r="C23" s="10">
        <v>1584</v>
      </c>
      <c r="D23" s="10">
        <v>1584</v>
      </c>
    </row>
    <row r="24" spans="1:4" x14ac:dyDescent="0.25">
      <c r="A24" s="2" t="str">
        <f>"1.1.1.03.00- APLICACOES FINANCEIRAS"</f>
        <v>1.1.1.03.00- APLICACOES FINANCEIRAS</v>
      </c>
      <c r="B24" s="10">
        <v>8779706.2200000007</v>
      </c>
      <c r="C24" s="10">
        <v>1345405.45</v>
      </c>
      <c r="D24" s="10">
        <v>10125111.67</v>
      </c>
    </row>
    <row r="25" spans="1:4" x14ac:dyDescent="0.25">
      <c r="A25" s="2" t="str">
        <f>"1.1.1.03.23- Caixa Econômica Federal - 3291-5"</f>
        <v>1.1.1.03.23- Caixa Econômica Federal - 3291-5</v>
      </c>
      <c r="B25" s="10">
        <v>7673998.96</v>
      </c>
      <c r="C25" s="10">
        <v>1336649.57</v>
      </c>
      <c r="D25" s="10">
        <v>9010648.5299999993</v>
      </c>
    </row>
    <row r="26" spans="1:4" x14ac:dyDescent="0.25">
      <c r="A26" s="2" t="str">
        <f>"1.1.1.03.25- Caixa Econômica Federal - 3292-3 Leilão"</f>
        <v>1.1.1.03.25- Caixa Econômica Federal - 3292-3 Leilão</v>
      </c>
      <c r="B26" s="10">
        <v>69954.399999999994</v>
      </c>
      <c r="C26" s="10">
        <v>543</v>
      </c>
      <c r="D26" s="10">
        <v>70497.399999999994</v>
      </c>
    </row>
    <row r="27" spans="1:4" x14ac:dyDescent="0.25">
      <c r="A27" s="2" t="str">
        <f>"1.1.1.03.26- Caixa Econômica Federal - 3295-8Leilão13"</f>
        <v>1.1.1.03.26- Caixa Econômica Federal - 3295-8Leilão13</v>
      </c>
      <c r="B27" s="10">
        <v>194426.52</v>
      </c>
      <c r="C27" s="10">
        <v>1509.18</v>
      </c>
      <c r="D27" s="10">
        <v>195935.7</v>
      </c>
    </row>
    <row r="28" spans="1:4" x14ac:dyDescent="0.25">
      <c r="A28" s="2" t="str">
        <f>"1.1.1.03.29- Caixa Econômica Federal - 3298-2Leilão15"</f>
        <v>1.1.1.03.29- Caixa Econômica Federal - 3298-2Leilão15</v>
      </c>
      <c r="B28" s="10">
        <v>96212.86</v>
      </c>
      <c r="C28" s="10">
        <v>674.2</v>
      </c>
      <c r="D28" s="10">
        <v>96887.06</v>
      </c>
    </row>
    <row r="29" spans="1:4" x14ac:dyDescent="0.25">
      <c r="A29" s="2" t="str">
        <f>"1.1.1.03.30- Caixa Econômica Federal - 3299-0Leilão16"</f>
        <v>1.1.1.03.30- Caixa Econômica Federal - 3299-0Leilão16</v>
      </c>
      <c r="B29" s="10">
        <v>120504.62</v>
      </c>
      <c r="C29" s="10">
        <v>935.39</v>
      </c>
      <c r="D29" s="10">
        <v>121440.01</v>
      </c>
    </row>
    <row r="30" spans="1:4" x14ac:dyDescent="0.25">
      <c r="A30" s="2" t="str">
        <f>"1.1.1.03.31- Caixa Econômica Federal - 3300-8Leilão16"</f>
        <v>1.1.1.03.31- Caixa Econômica Federal - 3300-8Leilão16</v>
      </c>
      <c r="B30" s="10">
        <v>43470.35</v>
      </c>
      <c r="C30" s="10">
        <v>304.61</v>
      </c>
      <c r="D30" s="10">
        <v>43774.96</v>
      </c>
    </row>
    <row r="31" spans="1:4" x14ac:dyDescent="0.25">
      <c r="A31" s="2" t="str">
        <f>"1.1.1.03.32- Caixa Econômica - 3301-6 Mídia"</f>
        <v>1.1.1.03.32- Caixa Econômica - 3301-6 Mídia</v>
      </c>
      <c r="B31" s="10">
        <v>71052.240000000005</v>
      </c>
      <c r="C31" s="10">
        <v>552.69000000000005</v>
      </c>
      <c r="D31" s="10">
        <v>71604.929999999993</v>
      </c>
    </row>
    <row r="32" spans="1:4" x14ac:dyDescent="0.25">
      <c r="A32" s="2" t="str">
        <f>"1.1.1.03.35- Caixa Econômica - 3304-0Caução"</f>
        <v>1.1.1.03.35- Caixa Econômica - 3304-0Caução</v>
      </c>
      <c r="B32" s="10">
        <v>409768.06</v>
      </c>
      <c r="C32" s="10">
        <v>2968.65</v>
      </c>
      <c r="D32" s="10">
        <v>412736.71</v>
      </c>
    </row>
    <row r="33" spans="1:4" x14ac:dyDescent="0.25">
      <c r="A33" s="2" t="str">
        <f>"1.1.1.03.36- Caixa Econômica - 3305-9Sucumb."</f>
        <v>1.1.1.03.36- Caixa Econômica - 3305-9Sucumb.</v>
      </c>
      <c r="B33" s="10">
        <v>4490.82</v>
      </c>
      <c r="C33" s="10">
        <v>30.47</v>
      </c>
      <c r="D33" s="10">
        <v>4521.29</v>
      </c>
    </row>
    <row r="34" spans="1:4" x14ac:dyDescent="0.25">
      <c r="A34" s="2" t="str">
        <f>"1.1.1.03.38- Caixa Econômica - 3308-3Leilão"</f>
        <v>1.1.1.03.38- Caixa Econômica - 3308-3Leilão</v>
      </c>
      <c r="B34" s="10">
        <v>2081.69</v>
      </c>
      <c r="C34" s="10">
        <v>14.13</v>
      </c>
      <c r="D34" s="10">
        <v>2095.8200000000002</v>
      </c>
    </row>
    <row r="35" spans="1:4" x14ac:dyDescent="0.25">
      <c r="A35" s="2" t="str">
        <f>"1.1.1.03.41- Caixa Econômica - 531-0 Aci moto poupanç"</f>
        <v>1.1.1.03.41- Caixa Econômica - 531-0 Aci moto poupanç</v>
      </c>
      <c r="B35" s="10">
        <v>4262.41</v>
      </c>
      <c r="C35" s="10">
        <v>54.24</v>
      </c>
      <c r="D35" s="10">
        <v>4316.6499999999996</v>
      </c>
    </row>
    <row r="36" spans="1:4" x14ac:dyDescent="0.25">
      <c r="A36" s="2" t="str">
        <f>"1.1.1.03.42- Caixa Econômica - 532-9 Acid Ped Poupanç"</f>
        <v>1.1.1.03.42- Caixa Econômica - 532-9 Acid Ped Poupanç</v>
      </c>
      <c r="B36" s="10">
        <v>3669.56</v>
      </c>
      <c r="C36" s="10">
        <v>46.69</v>
      </c>
      <c r="D36" s="10">
        <v>3716.25</v>
      </c>
    </row>
    <row r="37" spans="1:4" x14ac:dyDescent="0.25">
      <c r="A37" s="2" t="str">
        <f>"1.1.1.03.43- Caixa Econômica - 534-5 Codemig Poupança"</f>
        <v>1.1.1.03.43- Caixa Econômica - 534-5 Codemig Poupança</v>
      </c>
      <c r="B37" s="10">
        <v>24802.39</v>
      </c>
      <c r="C37" s="10">
        <v>324.45999999999998</v>
      </c>
      <c r="D37" s="10">
        <v>25126.85</v>
      </c>
    </row>
    <row r="38" spans="1:4" x14ac:dyDescent="0.25">
      <c r="A38" s="2" t="str">
        <f>"1.1.1.03.44- Caixa Econômica - 535-3 Turblog Poupança"</f>
        <v>1.1.1.03.44- Caixa Econômica - 535-3 Turblog Poupança</v>
      </c>
      <c r="B38" s="10">
        <v>61011.34</v>
      </c>
      <c r="C38" s="10">
        <v>798.17</v>
      </c>
      <c r="D38" s="10">
        <v>61809.51</v>
      </c>
    </row>
    <row r="39" spans="1:4" x14ac:dyDescent="0.25">
      <c r="A39" s="2" t="str">
        <f>"1.1.1.04.00- BANCOS C/VINCULADA-PAMEH"</f>
        <v>1.1.1.04.00- BANCOS C/VINCULADA-PAMEH</v>
      </c>
      <c r="B39" s="10">
        <v>3261914.71</v>
      </c>
      <c r="C39" s="10">
        <v>-246173.73</v>
      </c>
      <c r="D39" s="10">
        <v>3015740.98</v>
      </c>
    </row>
    <row r="40" spans="1:4" x14ac:dyDescent="0.25">
      <c r="A40" s="2" t="str">
        <f>"1.1.1.04.04- Mercantil do Brasil 02733249-2"</f>
        <v>1.1.1.04.04- Mercantil do Brasil 02733249-2</v>
      </c>
      <c r="B40" s="10">
        <v>207.81</v>
      </c>
      <c r="C40" s="10">
        <v>-200</v>
      </c>
      <c r="D40" s="10">
        <v>7.81</v>
      </c>
    </row>
    <row r="41" spans="1:4" x14ac:dyDescent="0.25">
      <c r="A41" s="2" t="str">
        <f>"1.1.1.04.07- Caixa Econômica Federal - 3294-0"</f>
        <v>1.1.1.04.07- Caixa Econômica Federal - 3294-0</v>
      </c>
      <c r="B41" s="10">
        <v>74245.41</v>
      </c>
      <c r="C41" s="10">
        <v>-74245.41</v>
      </c>
      <c r="D41" s="10">
        <v>0</v>
      </c>
    </row>
    <row r="42" spans="1:4" x14ac:dyDescent="0.25">
      <c r="A42" s="2" t="str">
        <f>"1.1.1.04.08- Caixa Econômica Federal - 3294-0 Aplic."</f>
        <v>1.1.1.04.08- Caixa Econômica Federal - 3294-0 Aplic.</v>
      </c>
      <c r="B42" s="10">
        <v>3187461.49</v>
      </c>
      <c r="C42" s="10">
        <v>-171728.32</v>
      </c>
      <c r="D42" s="10">
        <v>3015733.17</v>
      </c>
    </row>
    <row r="43" spans="1:4" x14ac:dyDescent="0.25">
      <c r="A43" s="2" t="str">
        <f>"1.1.2.00.00- REALIZAVEL A CURTO PRAZO"</f>
        <v>1.1.2.00.00- REALIZAVEL A CURTO PRAZO</v>
      </c>
      <c r="B43" s="10">
        <v>14705382.189999999</v>
      </c>
      <c r="C43" s="10">
        <v>1022309.3</v>
      </c>
      <c r="D43" s="10">
        <v>15727691.49</v>
      </c>
    </row>
    <row r="44" spans="1:4" x14ac:dyDescent="0.25">
      <c r="A44" s="2" t="str">
        <f>"1.1.2.01.00- CONTAS A RECEBER"</f>
        <v>1.1.2.01.00- CONTAS A RECEBER</v>
      </c>
      <c r="B44" s="10">
        <v>8132455.4299999997</v>
      </c>
      <c r="C44" s="10">
        <v>484160.69</v>
      </c>
      <c r="D44" s="10">
        <v>8616616.1199999992</v>
      </c>
    </row>
    <row r="45" spans="1:4" x14ac:dyDescent="0.25">
      <c r="A45" s="2" t="str">
        <f>"1.1.2.01.89- Multas Transporte Coletivo"</f>
        <v>1.1.2.01.89- Multas Transporte Coletivo</v>
      </c>
      <c r="B45" s="10">
        <v>9524515.1699999999</v>
      </c>
      <c r="C45" s="10">
        <v>537956.31999999995</v>
      </c>
      <c r="D45" s="10">
        <v>10062471.49</v>
      </c>
    </row>
    <row r="46" spans="1:4" x14ac:dyDescent="0.25">
      <c r="A46" s="2" t="str">
        <f>"1.1.2.01.94- Midia Onibus a Receber"</f>
        <v>1.1.2.01.94- Midia Onibus a Receber</v>
      </c>
      <c r="B46" s="10">
        <v>786491.64</v>
      </c>
      <c r="C46" s="10">
        <v>0</v>
      </c>
      <c r="D46" s="10">
        <v>786491.64</v>
      </c>
    </row>
    <row r="47" spans="1:4" x14ac:dyDescent="0.25">
      <c r="A47" s="2" t="str">
        <f>"1.1.2.01.99- (-) Provisao para Perdas"</f>
        <v>1.1.2.01.99- (-) Provisao para Perdas</v>
      </c>
      <c r="B47" s="10">
        <v>-2178551.38</v>
      </c>
      <c r="C47" s="10">
        <v>-53795.63</v>
      </c>
      <c r="D47" s="10">
        <v>-2232347.0099999998</v>
      </c>
    </row>
    <row r="48" spans="1:4" x14ac:dyDescent="0.25">
      <c r="A48" s="2" t="str">
        <f>"1.1.2.06.00- ADIANTAMENTO A EMPREGADOS"</f>
        <v>1.1.2.06.00- ADIANTAMENTO A EMPREGADOS</v>
      </c>
      <c r="B48" s="10">
        <v>3155457.98</v>
      </c>
      <c r="C48" s="10">
        <v>185815.66</v>
      </c>
      <c r="D48" s="10">
        <v>3341273.64</v>
      </c>
    </row>
    <row r="49" spans="1:4" x14ac:dyDescent="0.25">
      <c r="A49" s="2" t="str">
        <f>"1.1.2.06.01- Adiantamento de Ferias"</f>
        <v>1.1.2.06.01- Adiantamento de Ferias</v>
      </c>
      <c r="B49" s="10">
        <v>696517.05</v>
      </c>
      <c r="C49" s="10">
        <v>79391.87</v>
      </c>
      <c r="D49" s="10">
        <v>775908.92</v>
      </c>
    </row>
    <row r="50" spans="1:4" x14ac:dyDescent="0.25">
      <c r="A50" s="2" t="str">
        <f>"1.1.2.06.02- Adiantamento de 13. Salario"</f>
        <v>1.1.2.06.02- Adiantamento de 13. Salario</v>
      </c>
      <c r="B50" s="10">
        <v>2271266.58</v>
      </c>
      <c r="C50" s="10">
        <v>49293.07</v>
      </c>
      <c r="D50" s="10">
        <v>2320559.65</v>
      </c>
    </row>
    <row r="51" spans="1:4" x14ac:dyDescent="0.25">
      <c r="A51" s="2" t="str">
        <f>"1.1.2.06.03- Adiant. de Salario/Parc. Ferias"</f>
        <v>1.1.2.06.03- Adiant. de Salario/Parc. Ferias</v>
      </c>
      <c r="B51" s="10">
        <v>80934.789999999994</v>
      </c>
      <c r="C51" s="10">
        <v>52011.49</v>
      </c>
      <c r="D51" s="10">
        <v>132946.28</v>
      </c>
    </row>
    <row r="52" spans="1:4" x14ac:dyDescent="0.25">
      <c r="A52" s="2" t="str">
        <f>"1.1.2.06.06- Diferencas Salariais a Apropriar"</f>
        <v>1.1.2.06.06- Diferencas Salariais a Apropriar</v>
      </c>
      <c r="B52" s="10">
        <v>7335.29</v>
      </c>
      <c r="C52" s="10">
        <v>0</v>
      </c>
      <c r="D52" s="10">
        <v>7335.29</v>
      </c>
    </row>
    <row r="53" spans="1:4" x14ac:dyDescent="0.25">
      <c r="A53" s="2" t="str">
        <f>"1.1.2.06.07- Adiantamento Pensao s/ Ferias"</f>
        <v>1.1.2.06.07- Adiantamento Pensao s/ Ferias</v>
      </c>
      <c r="B53" s="10">
        <v>99404.27</v>
      </c>
      <c r="C53" s="10">
        <v>5119.2299999999996</v>
      </c>
      <c r="D53" s="10">
        <v>104523.5</v>
      </c>
    </row>
    <row r="54" spans="1:4" x14ac:dyDescent="0.25">
      <c r="A54" s="2" t="str">
        <f>"1.1.2.08.00- ALMOXARIFADO"</f>
        <v>1.1.2.08.00- ALMOXARIFADO</v>
      </c>
      <c r="B54" s="10">
        <v>356713.72</v>
      </c>
      <c r="C54" s="10">
        <v>-10507.18</v>
      </c>
      <c r="D54" s="10">
        <v>346206.54</v>
      </c>
    </row>
    <row r="55" spans="1:4" x14ac:dyDescent="0.25">
      <c r="A55" s="2" t="str">
        <f>"1.1.2.08.01- Material em Estoque"</f>
        <v>1.1.2.08.01- Material em Estoque</v>
      </c>
      <c r="B55" s="10">
        <v>356713.72</v>
      </c>
      <c r="C55" s="10">
        <v>-10507.18</v>
      </c>
      <c r="D55" s="10">
        <v>346206.54</v>
      </c>
    </row>
    <row r="56" spans="1:4" x14ac:dyDescent="0.25">
      <c r="A56" s="2" t="str">
        <f>"1.1.2.10.00- IMPOSTOS E CONTRIB.A RECUPERAR"</f>
        <v>1.1.2.10.00- IMPOSTOS E CONTRIB.A RECUPERAR</v>
      </c>
      <c r="B56" s="10">
        <v>1801556.92</v>
      </c>
      <c r="C56" s="10">
        <v>2171</v>
      </c>
      <c r="D56" s="10">
        <v>1803727.92</v>
      </c>
    </row>
    <row r="57" spans="1:4" x14ac:dyDescent="0.25">
      <c r="A57" s="2" t="str">
        <f>"1.1.2.10.01- IR s/Aplicacao Financeira"</f>
        <v>1.1.2.10.01- IR s/Aplicacao Financeira</v>
      </c>
      <c r="B57" s="10">
        <v>421355.89</v>
      </c>
      <c r="C57" s="10">
        <v>2085.65</v>
      </c>
      <c r="D57" s="10">
        <v>423441.54</v>
      </c>
    </row>
    <row r="58" spans="1:4" x14ac:dyDescent="0.25">
      <c r="A58" s="2" t="str">
        <f>"1.1.2.10.08- IRRF a Compensar"</f>
        <v>1.1.2.10.08- IRRF a Compensar</v>
      </c>
      <c r="B58" s="10">
        <v>1454.99</v>
      </c>
      <c r="C58" s="10">
        <v>0</v>
      </c>
      <c r="D58" s="10">
        <v>1454.99</v>
      </c>
    </row>
    <row r="59" spans="1:4" x14ac:dyDescent="0.25">
      <c r="A59" s="2" t="str">
        <f>"1.1.2.10.15- Cofins a Compensar"</f>
        <v>1.1.2.10.15- Cofins a Compensar</v>
      </c>
      <c r="B59" s="10">
        <v>1039251.05</v>
      </c>
      <c r="C59" s="10">
        <v>0</v>
      </c>
      <c r="D59" s="10">
        <v>1039251.05</v>
      </c>
    </row>
    <row r="60" spans="1:4" x14ac:dyDescent="0.25">
      <c r="A60" s="2" t="str">
        <f>"1.1.2.10.16- PIS a Compensar"</f>
        <v>1.1.2.10.16- PIS a Compensar</v>
      </c>
      <c r="B60" s="10">
        <v>224393.88</v>
      </c>
      <c r="C60" s="10">
        <v>0.05</v>
      </c>
      <c r="D60" s="10">
        <v>224393.93</v>
      </c>
    </row>
    <row r="61" spans="1:4" x14ac:dyDescent="0.25">
      <c r="A61" s="2" t="str">
        <f>"1.1.2.10.20- V.M.A PIS a Recuperar"</f>
        <v>1.1.2.10.20- V.M.A PIS a Recuperar</v>
      </c>
      <c r="B61" s="10">
        <v>1145.8699999999999</v>
      </c>
      <c r="C61" s="10">
        <v>46.7</v>
      </c>
      <c r="D61" s="10">
        <v>1192.57</v>
      </c>
    </row>
    <row r="62" spans="1:4" x14ac:dyDescent="0.25">
      <c r="A62" s="2" t="str">
        <f>"1.1.2.10.21- V.M.A IRRF a Compensar"</f>
        <v>1.1.2.10.21- V.M.A IRRF a Compensar</v>
      </c>
      <c r="B62" s="10">
        <v>421.52</v>
      </c>
      <c r="C62" s="10">
        <v>11.65</v>
      </c>
      <c r="D62" s="10">
        <v>433.17</v>
      </c>
    </row>
    <row r="63" spans="1:4" x14ac:dyDescent="0.25">
      <c r="A63" s="2" t="str">
        <f>"1.1.2.10.22- V.M.A COFINS a Compensar"</f>
        <v>1.1.2.10.22- V.M.A COFINS a Compensar</v>
      </c>
      <c r="B63" s="10">
        <v>5269.95</v>
      </c>
      <c r="C63" s="10">
        <v>26.95</v>
      </c>
      <c r="D63" s="10">
        <v>5296.9</v>
      </c>
    </row>
    <row r="64" spans="1:4" x14ac:dyDescent="0.25">
      <c r="A64" s="2" t="str">
        <f>"1.1.2.10.25- INSS a recuperar segurados"</f>
        <v>1.1.2.10.25- INSS a recuperar segurados</v>
      </c>
      <c r="B64" s="10">
        <v>108263.77</v>
      </c>
      <c r="C64" s="10">
        <v>0</v>
      </c>
      <c r="D64" s="10">
        <v>108263.77</v>
      </c>
    </row>
    <row r="65" spans="1:4" x14ac:dyDescent="0.25">
      <c r="A65" s="2" t="str">
        <f>"1.1.2.11.00- DESPESAS ANTECIPADAS"</f>
        <v>1.1.2.11.00- DESPESAS ANTECIPADAS</v>
      </c>
      <c r="B65" s="10">
        <v>6275.34</v>
      </c>
      <c r="C65" s="10">
        <v>-709.62</v>
      </c>
      <c r="D65" s="10">
        <v>5565.72</v>
      </c>
    </row>
    <row r="66" spans="1:4" x14ac:dyDescent="0.25">
      <c r="A66" s="2" t="str">
        <f>"1.1.2.11.01- Premios de Seguros a Vencer"</f>
        <v>1.1.2.11.01- Premios de Seguros a Vencer</v>
      </c>
      <c r="B66" s="10">
        <v>6275.34</v>
      </c>
      <c r="C66" s="10">
        <v>-709.62</v>
      </c>
      <c r="D66" s="10">
        <v>5565.72</v>
      </c>
    </row>
    <row r="67" spans="1:4" x14ac:dyDescent="0.25">
      <c r="A67" s="2" t="str">
        <f>"1.1.2.12.00- VALORES VINC.A RECEBER-PAMEH"</f>
        <v>1.1.2.12.00- VALORES VINC.A RECEBER-PAMEH</v>
      </c>
      <c r="B67" s="10">
        <v>697261.43</v>
      </c>
      <c r="C67" s="10">
        <v>89976.07</v>
      </c>
      <c r="D67" s="10">
        <v>787237.5</v>
      </c>
    </row>
    <row r="68" spans="1:4" x14ac:dyDescent="0.25">
      <c r="A68" s="2" t="str">
        <f>"1.1.2.12.01- Valores Vinculados-PAMEH"</f>
        <v>1.1.2.12.01- Valores Vinculados-PAMEH</v>
      </c>
      <c r="B68" s="10">
        <v>697261.43</v>
      </c>
      <c r="C68" s="10">
        <v>89976.07</v>
      </c>
      <c r="D68" s="10">
        <v>787237.5</v>
      </c>
    </row>
    <row r="69" spans="1:4" x14ac:dyDescent="0.25">
      <c r="A69" s="2" t="str">
        <f>"1.1.2.14.00- CONTAS TRANSITORIAS - GRUPO ATIVO"</f>
        <v>1.1.2.14.00- CONTAS TRANSITORIAS - GRUPO ATIVO</v>
      </c>
      <c r="B69" s="10">
        <v>523100.27</v>
      </c>
      <c r="C69" s="10">
        <v>262908.48</v>
      </c>
      <c r="D69" s="10">
        <v>786008.75</v>
      </c>
    </row>
    <row r="70" spans="1:4" x14ac:dyDescent="0.25">
      <c r="A70" s="2" t="str">
        <f>"1.1.2.14.05- Transitoria Folha de Pagamento"</f>
        <v>1.1.2.14.05- Transitoria Folha de Pagamento</v>
      </c>
      <c r="B70" s="10">
        <v>523100.27</v>
      </c>
      <c r="C70" s="10">
        <v>262908.48</v>
      </c>
      <c r="D70" s="10">
        <v>786008.75</v>
      </c>
    </row>
    <row r="71" spans="1:4" x14ac:dyDescent="0.25">
      <c r="A71" s="2" t="str">
        <f>"1.1.2.15.00- CARNE ESTACIONAMENTO ROTATIVO"</f>
        <v>1.1.2.15.00- CARNE ESTACIONAMENTO ROTATIVO</v>
      </c>
      <c r="B71" s="10">
        <v>32561.1</v>
      </c>
      <c r="C71" s="10">
        <v>8494.2000000000007</v>
      </c>
      <c r="D71" s="10">
        <v>41055.300000000003</v>
      </c>
    </row>
    <row r="72" spans="1:4" x14ac:dyDescent="0.25">
      <c r="A72" s="2" t="str">
        <f>"1.1.2.15.01- Carne Rotativo"</f>
        <v>1.1.2.15.01- Carne Rotativo</v>
      </c>
      <c r="B72" s="10">
        <v>32561.1</v>
      </c>
      <c r="C72" s="10">
        <v>8494.2000000000007</v>
      </c>
      <c r="D72" s="10">
        <v>41055.300000000003</v>
      </c>
    </row>
    <row r="73" spans="1:4" x14ac:dyDescent="0.25">
      <c r="A73" s="2" t="str">
        <f>"1.2.0.00.00- ATIVO NAO CIRCULANTE"</f>
        <v>1.2.0.00.00- ATIVO NAO CIRCULANTE</v>
      </c>
      <c r="B73" s="10">
        <v>11002301.539999999</v>
      </c>
      <c r="C73" s="10">
        <v>167375.62</v>
      </c>
      <c r="D73" s="10">
        <v>11169677.16</v>
      </c>
    </row>
    <row r="74" spans="1:4" x14ac:dyDescent="0.25">
      <c r="A74" s="2" t="str">
        <f>"1.2.1.00.00- REALIZAVEL A LONGO PRAZO"</f>
        <v>1.2.1.00.00- REALIZAVEL A LONGO PRAZO</v>
      </c>
      <c r="B74" s="10">
        <v>8837361.1799999997</v>
      </c>
      <c r="C74" s="10">
        <v>181675.02</v>
      </c>
      <c r="D74" s="10">
        <v>9019036.1999999993</v>
      </c>
    </row>
    <row r="75" spans="1:4" x14ac:dyDescent="0.25">
      <c r="A75" s="2" t="str">
        <f>"1.2.1.01.00- CREDITOS E VALORES A RECEBER"</f>
        <v>1.2.1.01.00- CREDITOS E VALORES A RECEBER</v>
      </c>
      <c r="B75" s="10">
        <v>8837361.1799999997</v>
      </c>
      <c r="C75" s="10">
        <v>181675.02</v>
      </c>
      <c r="D75" s="10">
        <v>9019036.1999999993</v>
      </c>
    </row>
    <row r="76" spans="1:4" x14ac:dyDescent="0.25">
      <c r="A76" s="2" t="str">
        <f>"1.2.1.01.01- Depositos Judiciais"</f>
        <v>1.2.1.01.01- Depositos Judiciais</v>
      </c>
      <c r="B76" s="10">
        <v>3002095.93</v>
      </c>
      <c r="C76" s="10">
        <v>181675.02</v>
      </c>
      <c r="D76" s="10">
        <v>3183770.95</v>
      </c>
    </row>
    <row r="77" spans="1:4" x14ac:dyDescent="0.25">
      <c r="A77" s="2" t="str">
        <f>"1.2.1.01.03- Depositos Judiciais de Terceiros"</f>
        <v>1.2.1.01.03- Depositos Judiciais de Terceiros</v>
      </c>
      <c r="B77" s="10">
        <v>357770.4</v>
      </c>
      <c r="C77" s="10">
        <v>0</v>
      </c>
      <c r="D77" s="10">
        <v>357770.4</v>
      </c>
    </row>
    <row r="78" spans="1:4" x14ac:dyDescent="0.25">
      <c r="A78" s="2" t="str">
        <f>"1.2.1.01.04- Convenio Prefeitura Betim"</f>
        <v>1.2.1.01.04- Convenio Prefeitura Betim</v>
      </c>
      <c r="B78" s="10">
        <v>21463.9</v>
      </c>
      <c r="C78" s="10">
        <v>0</v>
      </c>
      <c r="D78" s="10">
        <v>21463.9</v>
      </c>
    </row>
    <row r="79" spans="1:4" x14ac:dyDescent="0.25">
      <c r="A79" s="2" t="str">
        <f>"1.2.1.01.05- Convenio IPSEMG"</f>
        <v>1.2.1.01.05- Convenio IPSEMG</v>
      </c>
      <c r="B79" s="10">
        <v>21163.53</v>
      </c>
      <c r="C79" s="10">
        <v>0</v>
      </c>
      <c r="D79" s="10">
        <v>21163.53</v>
      </c>
    </row>
    <row r="80" spans="1:4" x14ac:dyDescent="0.25">
      <c r="A80" s="2" t="str">
        <f>"1.2.1.01.06- Multas Transporte Coletivo"</f>
        <v>1.2.1.01.06- Multas Transporte Coletivo</v>
      </c>
      <c r="B80" s="10">
        <v>5434867.4199999999</v>
      </c>
      <c r="C80" s="10">
        <v>0</v>
      </c>
      <c r="D80" s="10">
        <v>5434867.4199999999</v>
      </c>
    </row>
    <row r="81" spans="1:4" x14ac:dyDescent="0.25">
      <c r="A81" s="2" t="str">
        <f>"1.3.1.00.00- INVESTIMENTOS"</f>
        <v>1.3.1.00.00- INVESTIMENTOS</v>
      </c>
      <c r="B81" s="10">
        <v>26070</v>
      </c>
      <c r="C81" s="10">
        <v>0</v>
      </c>
      <c r="D81" s="10">
        <v>26070</v>
      </c>
    </row>
    <row r="82" spans="1:4" x14ac:dyDescent="0.25">
      <c r="A82" s="2" t="str">
        <f>"1.3.1.01.00- OUTROS INVESTIMENTOS"</f>
        <v>1.3.1.01.00- OUTROS INVESTIMENTOS</v>
      </c>
      <c r="B82" s="10">
        <v>26070</v>
      </c>
      <c r="C82" s="10">
        <v>0</v>
      </c>
      <c r="D82" s="10">
        <v>26070</v>
      </c>
    </row>
    <row r="83" spans="1:4" x14ac:dyDescent="0.25">
      <c r="A83" s="2" t="str">
        <f>"1.3.1.01.01- Obras de Arte"</f>
        <v>1.3.1.01.01- Obras de Arte</v>
      </c>
      <c r="B83" s="10">
        <v>25200</v>
      </c>
      <c r="C83" s="10">
        <v>0</v>
      </c>
      <c r="D83" s="10">
        <v>25200</v>
      </c>
    </row>
    <row r="84" spans="1:4" x14ac:dyDescent="0.25">
      <c r="A84" s="2" t="str">
        <f>"1.3.1.01.02- Participações Societárias - PBH ATIVOS"</f>
        <v>1.3.1.01.02- Participações Societárias - PBH ATIVOS</v>
      </c>
      <c r="B84" s="10">
        <v>870</v>
      </c>
      <c r="C84" s="10">
        <v>0</v>
      </c>
      <c r="D84" s="10">
        <v>870</v>
      </c>
    </row>
    <row r="85" spans="1:4" x14ac:dyDescent="0.25">
      <c r="A85" s="2" t="str">
        <f>"1.3.2.00.00- IMOBILIZADO"</f>
        <v>1.3.2.00.00- IMOBILIZADO</v>
      </c>
      <c r="B85" s="10">
        <v>6853388.3700000001</v>
      </c>
      <c r="C85" s="10">
        <v>7440.76</v>
      </c>
      <c r="D85" s="10">
        <v>6860829.1299999999</v>
      </c>
    </row>
    <row r="86" spans="1:4" x14ac:dyDescent="0.25">
      <c r="A86" s="2" t="str">
        <f>"1.3.2.01.01- Maquinas e equipamentos"</f>
        <v>1.3.2.01.01- Maquinas e equipamentos</v>
      </c>
      <c r="B86" s="10">
        <v>226204.7</v>
      </c>
      <c r="C86" s="10">
        <v>7440.76</v>
      </c>
      <c r="D86" s="10">
        <v>233645.46</v>
      </c>
    </row>
    <row r="87" spans="1:4" x14ac:dyDescent="0.25">
      <c r="A87" s="2" t="str">
        <f>"1.3.2.02.01- Ferramentas"</f>
        <v>1.3.2.02.01- Ferramentas</v>
      </c>
      <c r="B87" s="10">
        <v>9104.81</v>
      </c>
      <c r="C87" s="10">
        <v>0</v>
      </c>
      <c r="D87" s="10">
        <v>9104.81</v>
      </c>
    </row>
    <row r="88" spans="1:4" x14ac:dyDescent="0.25">
      <c r="A88" s="2" t="str">
        <f>"1.3.2.03.01- Equipamentos de comunicacao"</f>
        <v>1.3.2.03.01- Equipamentos de comunicacao</v>
      </c>
      <c r="B88" s="10">
        <v>191504.73</v>
      </c>
      <c r="C88" s="10">
        <v>0</v>
      </c>
      <c r="D88" s="10">
        <v>191504.73</v>
      </c>
    </row>
    <row r="89" spans="1:4" x14ac:dyDescent="0.25">
      <c r="A89" s="2" t="str">
        <f>"1.3.2.04.01- Instalacoes"</f>
        <v>1.3.2.04.01- Instalacoes</v>
      </c>
      <c r="B89" s="10">
        <v>85222.9</v>
      </c>
      <c r="C89" s="10">
        <v>0</v>
      </c>
      <c r="D89" s="10">
        <v>85222.9</v>
      </c>
    </row>
    <row r="90" spans="1:4" x14ac:dyDescent="0.25">
      <c r="A90" s="2" t="str">
        <f>"1.3.2.06.01- Moveis e utensilios"</f>
        <v>1.3.2.06.01- Moveis e utensilios</v>
      </c>
      <c r="B90" s="10">
        <v>538276.85</v>
      </c>
      <c r="C90" s="10">
        <v>0</v>
      </c>
      <c r="D90" s="10">
        <v>538276.85</v>
      </c>
    </row>
    <row r="91" spans="1:4" x14ac:dyDescent="0.25">
      <c r="A91" s="2" t="str">
        <f>"1.3.2.08.01- Instalacoes administrativas"</f>
        <v>1.3.2.08.01- Instalacoes administrativas</v>
      </c>
      <c r="B91" s="10">
        <v>99146.34</v>
      </c>
      <c r="C91" s="10">
        <v>0</v>
      </c>
      <c r="D91" s="10">
        <v>99146.34</v>
      </c>
    </row>
    <row r="92" spans="1:4" x14ac:dyDescent="0.25">
      <c r="A92" s="2" t="str">
        <f>"1.3.2.09.01- Aparelhos/equipamentos diversos"</f>
        <v>1.3.2.09.01- Aparelhos/equipamentos diversos</v>
      </c>
      <c r="B92" s="10">
        <v>603350.32999999996</v>
      </c>
      <c r="C92" s="10">
        <v>0</v>
      </c>
      <c r="D92" s="10">
        <v>603350.32999999996</v>
      </c>
    </row>
    <row r="93" spans="1:4" x14ac:dyDescent="0.25">
      <c r="A93" s="2" t="str">
        <f>"1.3.2.10.01- Equip. p/ processamento de dados"</f>
        <v>1.3.2.10.01- Equip. p/ processamento de dados</v>
      </c>
      <c r="B93" s="10">
        <v>696029.05</v>
      </c>
      <c r="C93" s="10">
        <v>0</v>
      </c>
      <c r="D93" s="10">
        <v>696029.05</v>
      </c>
    </row>
    <row r="94" spans="1:4" x14ac:dyDescent="0.25">
      <c r="A94" s="2" t="str">
        <f>"1.3.2.12.01- Micros/impressoras e acessorios"</f>
        <v>1.3.2.12.01- Micros/impressoras e acessorios</v>
      </c>
      <c r="B94" s="10">
        <v>2687164.28</v>
      </c>
      <c r="C94" s="10">
        <v>0</v>
      </c>
      <c r="D94" s="10">
        <v>2687164.28</v>
      </c>
    </row>
    <row r="95" spans="1:4" x14ac:dyDescent="0.25">
      <c r="A95" s="2" t="str">
        <f>"1.3.2.13.01- Imobilizacao em imoveis de terceiros"</f>
        <v>1.3.2.13.01- Imobilizacao em imoveis de terceiros</v>
      </c>
      <c r="B95" s="10">
        <v>1673924.44</v>
      </c>
      <c r="C95" s="10">
        <v>0</v>
      </c>
      <c r="D95" s="10">
        <v>1673924.44</v>
      </c>
    </row>
    <row r="96" spans="1:4" x14ac:dyDescent="0.25">
      <c r="A96" s="2" t="str">
        <f>"1.3.2.14.02- Estacao pampulha"</f>
        <v>1.3.2.14.02- Estacao pampulha</v>
      </c>
      <c r="B96" s="10">
        <v>43459.94</v>
      </c>
      <c r="C96" s="10">
        <v>0</v>
      </c>
      <c r="D96" s="10">
        <v>43459.94</v>
      </c>
    </row>
    <row r="97" spans="1:4" x14ac:dyDescent="0.25">
      <c r="A97" s="2" t="str">
        <f>"1.3.3.00.00- INTANGIVEL"</f>
        <v>1.3.3.00.00- INTANGIVEL</v>
      </c>
      <c r="B97" s="10">
        <v>891163.55</v>
      </c>
      <c r="C97" s="10">
        <v>0</v>
      </c>
      <c r="D97" s="10">
        <v>891163.55</v>
      </c>
    </row>
    <row r="98" spans="1:4" x14ac:dyDescent="0.25">
      <c r="A98" s="2" t="str">
        <f>"1.3.3.03.00- MARCAS E PATENTES"</f>
        <v>1.3.3.03.00- MARCAS E PATENTES</v>
      </c>
      <c r="B98" s="10">
        <v>808</v>
      </c>
      <c r="C98" s="10">
        <v>0</v>
      </c>
      <c r="D98" s="10">
        <v>808</v>
      </c>
    </row>
    <row r="99" spans="1:4" x14ac:dyDescent="0.25">
      <c r="A99" s="2" t="str">
        <f>"1.3.3.03.01- Marcas e Patentes"</f>
        <v>1.3.3.03.01- Marcas e Patentes</v>
      </c>
      <c r="B99" s="10">
        <v>808</v>
      </c>
      <c r="C99" s="10">
        <v>0</v>
      </c>
      <c r="D99" s="10">
        <v>808</v>
      </c>
    </row>
    <row r="100" spans="1:4" x14ac:dyDescent="0.25">
      <c r="A100" s="2" t="str">
        <f>"1.3.3.04.01- Programas e Sistemas"</f>
        <v>1.3.3.04.01- Programas e Sistemas</v>
      </c>
      <c r="B100" s="10">
        <v>890355.55</v>
      </c>
      <c r="C100" s="10">
        <v>0</v>
      </c>
      <c r="D100" s="10">
        <v>890355.55</v>
      </c>
    </row>
    <row r="101" spans="1:4" x14ac:dyDescent="0.25">
      <c r="A101" s="2" t="str">
        <f>"1.3.5.00.00- ( - )DEPRECIACAO E AMORTIZACAO"</f>
        <v>1.3.5.00.00- ( - )DEPRECIACAO E AMORTIZACAO</v>
      </c>
      <c r="B101" s="10">
        <v>-5605681.5599999996</v>
      </c>
      <c r="C101" s="10">
        <v>-21740.16</v>
      </c>
      <c r="D101" s="10">
        <v>-5627421.7199999997</v>
      </c>
    </row>
    <row r="102" spans="1:4" x14ac:dyDescent="0.25">
      <c r="A102" s="2" t="str">
        <f>"1.3.5.01.00- ( - ) DEPRECIACAO E AMORTIZACAO"</f>
        <v>1.3.5.01.00- ( - ) DEPRECIACAO E AMORTIZACAO</v>
      </c>
      <c r="B102" s="10">
        <v>-5605681.5599999996</v>
      </c>
      <c r="C102" s="10">
        <v>-21740.16</v>
      </c>
      <c r="D102" s="10">
        <v>-5627421.7199999997</v>
      </c>
    </row>
    <row r="103" spans="1:4" x14ac:dyDescent="0.25">
      <c r="A103" s="2" t="str">
        <f>"1.3.5.01.01- ( - ) Moveis e Utensilios"</f>
        <v>1.3.5.01.01- ( - ) Moveis e Utensilios</v>
      </c>
      <c r="B103" s="10">
        <v>-431751.45</v>
      </c>
      <c r="C103" s="10">
        <v>-2540.0300000000002</v>
      </c>
      <c r="D103" s="10">
        <v>-434291.48</v>
      </c>
    </row>
    <row r="104" spans="1:4" x14ac:dyDescent="0.25">
      <c r="A104" s="2" t="str">
        <f>"1.3.5.01.02- ( - ) Aparelhos/Equipamentos Diversos"</f>
        <v>1.3.5.01.02- ( - ) Aparelhos/Equipamentos Diversos</v>
      </c>
      <c r="B104" s="10">
        <v>-346743.2</v>
      </c>
      <c r="C104" s="10">
        <v>-3775.5</v>
      </c>
      <c r="D104" s="10">
        <v>-350518.7</v>
      </c>
    </row>
    <row r="105" spans="1:4" x14ac:dyDescent="0.25">
      <c r="A105" s="2" t="str">
        <f>"1.3.5.01.03- ( - ) Instalacoes Administrativas"</f>
        <v>1.3.5.01.03- ( - ) Instalacoes Administrativas</v>
      </c>
      <c r="B105" s="10">
        <v>-98603.26</v>
      </c>
      <c r="C105" s="10">
        <v>-102.62</v>
      </c>
      <c r="D105" s="10">
        <v>-98705.88</v>
      </c>
    </row>
    <row r="106" spans="1:4" x14ac:dyDescent="0.25">
      <c r="A106" s="2" t="str">
        <f>"1.3.5.01.05- ( - ) Impressoras e Micros"</f>
        <v>1.3.5.01.05- ( - ) Impressoras e Micros</v>
      </c>
      <c r="B106" s="10">
        <v>-2609530.54</v>
      </c>
      <c r="C106" s="10">
        <v>-7288.15</v>
      </c>
      <c r="D106" s="10">
        <v>-2616818.69</v>
      </c>
    </row>
    <row r="107" spans="1:4" x14ac:dyDescent="0.25">
      <c r="A107" s="2" t="str">
        <f>"1.3.5.01.06- ( - ) Maquinas e Equipamentos"</f>
        <v>1.3.5.01.06- ( - ) Maquinas e Equipamentos</v>
      </c>
      <c r="B107" s="10">
        <v>-148716.29</v>
      </c>
      <c r="C107" s="10">
        <v>-1434.37</v>
      </c>
      <c r="D107" s="10">
        <v>-150150.66</v>
      </c>
    </row>
    <row r="108" spans="1:4" x14ac:dyDescent="0.25">
      <c r="A108" s="2" t="str">
        <f>"1.3.5.01.07- ( - ) Equipamentos de Comunicacao"</f>
        <v>1.3.5.01.07- ( - ) Equipamentos de Comunicacao</v>
      </c>
      <c r="B108" s="10">
        <v>-190919.75</v>
      </c>
      <c r="C108" s="10">
        <v>-78.02</v>
      </c>
      <c r="D108" s="10">
        <v>-190997.77</v>
      </c>
    </row>
    <row r="109" spans="1:4" x14ac:dyDescent="0.25">
      <c r="A109" s="2" t="str">
        <f>"1.3.5.01.08- ( - ) Instalacoes Operacionais"</f>
        <v>1.3.5.01.08- ( - ) Instalacoes Operacionais</v>
      </c>
      <c r="B109" s="10">
        <v>-65053.83</v>
      </c>
      <c r="C109" s="10">
        <v>-272.37</v>
      </c>
      <c r="D109" s="10">
        <v>-65326.2</v>
      </c>
    </row>
    <row r="110" spans="1:4" x14ac:dyDescent="0.25">
      <c r="A110" s="2" t="str">
        <f>"1.3.5.01.09- ( - ) Programas (Softwares)"</f>
        <v>1.3.5.01.09- ( - ) Programas (Softwares)</v>
      </c>
      <c r="B110" s="10">
        <v>-635759.63</v>
      </c>
      <c r="C110" s="10">
        <v>-612.5</v>
      </c>
      <c r="D110" s="10">
        <v>-636372.13</v>
      </c>
    </row>
    <row r="111" spans="1:4" x14ac:dyDescent="0.25">
      <c r="A111" s="2" t="str">
        <f>"1.3.5.01.14- ( - ) Ferramentas"</f>
        <v>1.3.5.01.14- ( - ) Ferramentas</v>
      </c>
      <c r="B111" s="10">
        <v>-6865.87</v>
      </c>
      <c r="C111" s="10">
        <v>-56.85</v>
      </c>
      <c r="D111" s="10">
        <v>-6922.72</v>
      </c>
    </row>
    <row r="112" spans="1:4" x14ac:dyDescent="0.25">
      <c r="A112" s="2" t="str">
        <f>"1.3.5.01.15- ( - ) Imobilizacoes em Imov. Terceiros"</f>
        <v>1.3.5.01.15- ( - ) Imobilizacoes em Imov. Terceiros</v>
      </c>
      <c r="B112" s="10">
        <v>-1071737.74</v>
      </c>
      <c r="C112" s="10">
        <v>-5579.75</v>
      </c>
      <c r="D112" s="10">
        <v>-1077317.49</v>
      </c>
    </row>
    <row r="113" spans="1:4" x14ac:dyDescent="0.25">
      <c r="A113" s="2" t="str">
        <f>""</f>
        <v/>
      </c>
      <c r="B113" s="3" t="str">
        <f>""</f>
        <v/>
      </c>
      <c r="C113" s="3" t="str">
        <f>""</f>
        <v/>
      </c>
      <c r="D113" s="3" t="str">
        <f>""</f>
        <v/>
      </c>
    </row>
    <row r="114" spans="1:4" x14ac:dyDescent="0.25">
      <c r="A114" s="2" t="str">
        <f>"PASSIVO"</f>
        <v>PASSIVO</v>
      </c>
      <c r="B114" s="3" t="str">
        <f>""</f>
        <v/>
      </c>
      <c r="C114" s="3" t="str">
        <f>""</f>
        <v/>
      </c>
      <c r="D114" s="3" t="str">
        <f>""</f>
        <v/>
      </c>
    </row>
    <row r="115" spans="1:4" x14ac:dyDescent="0.25">
      <c r="A115" s="2" t="str">
        <f>"2.0.0.00.00- PASSIVO"</f>
        <v>2.0.0.00.00- PASSIVO</v>
      </c>
      <c r="B115" s="10">
        <v>39587940.200000003</v>
      </c>
      <c r="C115" s="10">
        <v>2401787.09</v>
      </c>
      <c r="D115" s="10">
        <v>41989727.289999999</v>
      </c>
    </row>
    <row r="116" spans="1:4" x14ac:dyDescent="0.25">
      <c r="A116" s="2" t="str">
        <f>"2.1.0.00.00- PASSIVO CIRCULANTE"</f>
        <v>2.1.0.00.00- PASSIVO CIRCULANTE</v>
      </c>
      <c r="B116" s="10">
        <v>63723009.5</v>
      </c>
      <c r="C116" s="10">
        <v>2549907.69</v>
      </c>
      <c r="D116" s="10">
        <v>66272917.189999998</v>
      </c>
    </row>
    <row r="117" spans="1:4" x14ac:dyDescent="0.25">
      <c r="A117" s="2" t="str">
        <f>"2.1.1.00.00- OBRIGACOES COM PESSOAL"</f>
        <v>2.1.1.00.00- OBRIGACOES COM PESSOAL</v>
      </c>
      <c r="B117" s="10">
        <v>28846530.27</v>
      </c>
      <c r="C117" s="10">
        <v>-4290549.7699999996</v>
      </c>
      <c r="D117" s="10">
        <v>24555980.5</v>
      </c>
    </row>
    <row r="118" spans="1:4" x14ac:dyDescent="0.25">
      <c r="A118" s="2" t="str">
        <f>"2.1.1.01.00- SALARIOS A PAGAR"</f>
        <v>2.1.1.01.00- SALARIOS A PAGAR</v>
      </c>
      <c r="B118" s="10">
        <v>28846530.27</v>
      </c>
      <c r="C118" s="10">
        <v>-4290549.7699999996</v>
      </c>
      <c r="D118" s="10">
        <v>24555980.5</v>
      </c>
    </row>
    <row r="119" spans="1:4" x14ac:dyDescent="0.25">
      <c r="A119" s="2" t="str">
        <f>"2.1.1.01.01- Salarios a Pagar"</f>
        <v>2.1.1.01.01- Salarios a Pagar</v>
      </c>
      <c r="B119" s="10">
        <v>7607865.6500000004</v>
      </c>
      <c r="C119" s="10">
        <v>-2870781.41</v>
      </c>
      <c r="D119" s="10">
        <v>4737084.24</v>
      </c>
    </row>
    <row r="120" spans="1:4" x14ac:dyDescent="0.25">
      <c r="A120" s="2" t="str">
        <f>"2.1.1.01.02- Provisão 13º Salário"</f>
        <v>2.1.1.01.02- Provisão 13º Salário</v>
      </c>
      <c r="B120" s="10">
        <v>2677208.71</v>
      </c>
      <c r="C120" s="10">
        <v>437681.51</v>
      </c>
      <c r="D120" s="10">
        <v>3114890.22</v>
      </c>
    </row>
    <row r="121" spans="1:4" x14ac:dyDescent="0.25">
      <c r="A121" s="2" t="str">
        <f>"2.1.1.01.03- Ferias a pagar"</f>
        <v>2.1.1.01.03- Ferias a pagar</v>
      </c>
      <c r="B121" s="10">
        <v>157768.24</v>
      </c>
      <c r="C121" s="10">
        <v>-101848.19</v>
      </c>
      <c r="D121" s="10">
        <v>55920.05</v>
      </c>
    </row>
    <row r="122" spans="1:4" x14ac:dyDescent="0.25">
      <c r="A122" s="2" t="str">
        <f>"2.1.1.01.05- Rescisoes a Pagar"</f>
        <v>2.1.1.01.05- Rescisoes a Pagar</v>
      </c>
      <c r="B122" s="10">
        <v>21586.97</v>
      </c>
      <c r="C122" s="10">
        <v>20587.87</v>
      </c>
      <c r="D122" s="10">
        <v>42174.84</v>
      </c>
    </row>
    <row r="123" spans="1:4" x14ac:dyDescent="0.25">
      <c r="A123" s="2" t="str">
        <f>"2.1.1.01.09- Provisao de Ferias"</f>
        <v>2.1.1.01.09- Provisao de Ferias</v>
      </c>
      <c r="B123" s="10">
        <v>7129690.2800000003</v>
      </c>
      <c r="C123" s="10">
        <v>-284843.28000000003</v>
      </c>
      <c r="D123" s="10">
        <v>6844847</v>
      </c>
    </row>
    <row r="124" spans="1:4" x14ac:dyDescent="0.25">
      <c r="A124" s="2" t="str">
        <f>"2.1.1.01.10- Diferencas Salariais"</f>
        <v>2.1.1.01.10- Diferencas Salariais</v>
      </c>
      <c r="B124" s="10">
        <v>7335.29</v>
      </c>
      <c r="C124" s="10">
        <v>0</v>
      </c>
      <c r="D124" s="10">
        <v>7335.29</v>
      </c>
    </row>
    <row r="125" spans="1:4" x14ac:dyDescent="0.25">
      <c r="A125" s="2" t="str">
        <f>"2.1.1.01.11- Indenizações trabalhistas - ACT"</f>
        <v>2.1.1.01.11- Indenizações trabalhistas - ACT</v>
      </c>
      <c r="B125" s="10">
        <v>11245075.130000001</v>
      </c>
      <c r="C125" s="10">
        <v>-1491346.27</v>
      </c>
      <c r="D125" s="10">
        <v>9753728.8599999994</v>
      </c>
    </row>
    <row r="126" spans="1:4" x14ac:dyDescent="0.25">
      <c r="A126" s="2" t="str">
        <f>"2.1.2.00.00- OBRIGACOES SOCIAIS A CURTO PRAZO"</f>
        <v>2.1.2.00.00- OBRIGACOES SOCIAIS A CURTO PRAZO</v>
      </c>
      <c r="B126" s="10">
        <v>12327405.43</v>
      </c>
      <c r="C126" s="10">
        <v>-4980349.8600000003</v>
      </c>
      <c r="D126" s="10">
        <v>7347055.5700000003</v>
      </c>
    </row>
    <row r="127" spans="1:4" x14ac:dyDescent="0.25">
      <c r="A127" s="2" t="str">
        <f>"2.1.2.01.00- OBRIGACOES SOCIAIS A RECOLHER"</f>
        <v>2.1.2.01.00- OBRIGACOES SOCIAIS A RECOLHER</v>
      </c>
      <c r="B127" s="10">
        <v>12327405.43</v>
      </c>
      <c r="C127" s="10">
        <v>-4980349.8600000003</v>
      </c>
      <c r="D127" s="10">
        <v>7347055.5700000003</v>
      </c>
    </row>
    <row r="128" spans="1:4" x14ac:dyDescent="0.25">
      <c r="A128" s="2" t="str">
        <f>"2.1.2.01.01- INSS a recolher s/Folha Pagto"</f>
        <v>2.1.2.01.01- INSS a recolher s/Folha Pagto</v>
      </c>
      <c r="B128" s="10">
        <v>6596730.9299999997</v>
      </c>
      <c r="C128" s="10">
        <v>-4085912.72</v>
      </c>
      <c r="D128" s="10">
        <v>2510818.21</v>
      </c>
    </row>
    <row r="129" spans="1:4" x14ac:dyDescent="0.25">
      <c r="A129" s="2" t="str">
        <f>"2.1.2.01.02- FGTS a recolher s/Folha Pagto"</f>
        <v>2.1.2.01.02- FGTS a recolher s/Folha Pagto</v>
      </c>
      <c r="B129" s="10">
        <v>1676847.29</v>
      </c>
      <c r="C129" s="10">
        <v>-1132785.8500000001</v>
      </c>
      <c r="D129" s="10">
        <v>544061.43999999994</v>
      </c>
    </row>
    <row r="130" spans="1:4" x14ac:dyDescent="0.25">
      <c r="A130" s="2" t="str">
        <f>"2.1.2.01.05- Contribuicao Sindical"</f>
        <v>2.1.2.01.05- Contribuicao Sindical</v>
      </c>
      <c r="B130" s="10">
        <v>9896.75</v>
      </c>
      <c r="C130" s="10">
        <v>-1787.55</v>
      </c>
      <c r="D130" s="10">
        <v>8109.2</v>
      </c>
    </row>
    <row r="131" spans="1:4" x14ac:dyDescent="0.25">
      <c r="A131" s="2" t="str">
        <f>"2.1.2.01.06- INSS s/Provisao de Ferias"</f>
        <v>2.1.2.01.06- INSS s/Provisao de Ferias</v>
      </c>
      <c r="B131" s="10">
        <v>2069977.97</v>
      </c>
      <c r="C131" s="10">
        <v>-84262.03</v>
      </c>
      <c r="D131" s="10">
        <v>1985715.94</v>
      </c>
    </row>
    <row r="132" spans="1:4" x14ac:dyDescent="0.25">
      <c r="A132" s="2" t="str">
        <f>"2.1.2.01.07- AEB - Assoc. Empreg. BHTRANS"</f>
        <v>2.1.2.01.07- AEB - Assoc. Empreg. BHTRANS</v>
      </c>
      <c r="B132" s="10">
        <v>5084.96</v>
      </c>
      <c r="C132" s="10">
        <v>-64.48</v>
      </c>
      <c r="D132" s="10">
        <v>5020.4799999999996</v>
      </c>
    </row>
    <row r="133" spans="1:4" x14ac:dyDescent="0.25">
      <c r="A133" s="2" t="str">
        <f>"2.1.2.01.09- INSS a Recolher s/Autonomos"</f>
        <v>2.1.2.01.09- INSS a Recolher s/Autonomos</v>
      </c>
      <c r="B133" s="10">
        <v>2198.83</v>
      </c>
      <c r="C133" s="10">
        <v>-2198.83</v>
      </c>
      <c r="D133" s="10">
        <v>0</v>
      </c>
    </row>
    <row r="134" spans="1:4" x14ac:dyDescent="0.25">
      <c r="A134" s="2" t="str">
        <f>"2.1.2.01.10- INSS s/Provisao de 13.Salario"</f>
        <v>2.1.2.01.10- INSS s/Provisao de 13.Salario</v>
      </c>
      <c r="B134" s="10">
        <v>778403.12</v>
      </c>
      <c r="C134" s="10">
        <v>127423.65</v>
      </c>
      <c r="D134" s="10">
        <v>905826.77</v>
      </c>
    </row>
    <row r="135" spans="1:4" x14ac:dyDescent="0.25">
      <c r="A135" s="2" t="str">
        <f>"2.1.2.01.11- FGTS s/Provisao de 13.Salario"</f>
        <v>2.1.2.01.11- FGTS s/Provisao de 13.Salario</v>
      </c>
      <c r="B135" s="10">
        <v>46552.1</v>
      </c>
      <c r="C135" s="10">
        <v>26638.01</v>
      </c>
      <c r="D135" s="10">
        <v>73190.11</v>
      </c>
    </row>
    <row r="136" spans="1:4" x14ac:dyDescent="0.25">
      <c r="A136" s="2" t="str">
        <f>"2.1.2.01.12- FGTS s/Provisao de Ferias"</f>
        <v>2.1.2.01.12- FGTS s/Provisao de Ferias</v>
      </c>
      <c r="B136" s="10">
        <v>569834.06999999995</v>
      </c>
      <c r="C136" s="10">
        <v>-23288.55</v>
      </c>
      <c r="D136" s="10">
        <v>546545.52</v>
      </c>
    </row>
    <row r="137" spans="1:4" x14ac:dyDescent="0.25">
      <c r="A137" s="2" t="str">
        <f>"2.1.2.01.13- Contribuicao ao PAMEH"</f>
        <v>2.1.2.01.13- Contribuicao ao PAMEH</v>
      </c>
      <c r="B137" s="10">
        <v>422975.09</v>
      </c>
      <c r="C137" s="10">
        <v>89466.09</v>
      </c>
      <c r="D137" s="10">
        <v>512441.18</v>
      </c>
    </row>
    <row r="138" spans="1:4" x14ac:dyDescent="0.25">
      <c r="A138" s="2" t="str">
        <f>"2.1.2.01.15- Crediserv-BH"</f>
        <v>2.1.2.01.15- Crediserv-BH</v>
      </c>
      <c r="B138" s="10">
        <v>16649.3</v>
      </c>
      <c r="C138" s="10">
        <v>2170.25</v>
      </c>
      <c r="D138" s="10">
        <v>18819.55</v>
      </c>
    </row>
    <row r="139" spans="1:4" x14ac:dyDescent="0.25">
      <c r="A139" s="2" t="str">
        <f>"2.1.2.01.16- INSS Fonte a Recolher - PJ"</f>
        <v>2.1.2.01.16- INSS Fonte a Recolher - PJ</v>
      </c>
      <c r="B139" s="10">
        <v>130775.93</v>
      </c>
      <c r="C139" s="10">
        <v>104337.76</v>
      </c>
      <c r="D139" s="10">
        <v>235113.69</v>
      </c>
    </row>
    <row r="140" spans="1:4" x14ac:dyDescent="0.25">
      <c r="A140" s="2" t="str">
        <f>"2.1.2.01.18- INSS Fonte a Recolher - P F"</f>
        <v>2.1.2.01.18- INSS Fonte a Recolher - P F</v>
      </c>
      <c r="B140" s="10">
        <v>939.09</v>
      </c>
      <c r="C140" s="10">
        <v>-85.61</v>
      </c>
      <c r="D140" s="10">
        <v>853.48</v>
      </c>
    </row>
    <row r="141" spans="1:4" x14ac:dyDescent="0.25">
      <c r="A141" s="2" t="str">
        <f>"2.1.2.01.19- ASFIM - PBH"</f>
        <v>2.1.2.01.19- ASFIM - PBH</v>
      </c>
      <c r="B141" s="10">
        <v>540</v>
      </c>
      <c r="C141" s="10">
        <v>0</v>
      </c>
      <c r="D141" s="10">
        <v>540</v>
      </c>
    </row>
    <row r="142" spans="1:4" x14ac:dyDescent="0.25">
      <c r="A142" s="2" t="str">
        <f>"2.1.3.00.00- OBRIGACOES FISCAIS A CURTO PRAZO"</f>
        <v>2.1.3.00.00- OBRIGACOES FISCAIS A CURTO PRAZO</v>
      </c>
      <c r="B142" s="10">
        <v>1417943.9</v>
      </c>
      <c r="C142" s="10">
        <v>623845.1</v>
      </c>
      <c r="D142" s="10">
        <v>2041789</v>
      </c>
    </row>
    <row r="143" spans="1:4" x14ac:dyDescent="0.25">
      <c r="A143" s="2" t="str">
        <f>"2.1.3.01.00- IMPOSTOS E TAXAS A RECOLHER"</f>
        <v>2.1.3.01.00- IMPOSTOS E TAXAS A RECOLHER</v>
      </c>
      <c r="B143" s="10">
        <v>1417943.9</v>
      </c>
      <c r="C143" s="10">
        <v>623845.1</v>
      </c>
      <c r="D143" s="10">
        <v>2041789</v>
      </c>
    </row>
    <row r="144" spans="1:4" x14ac:dyDescent="0.25">
      <c r="A144" s="2" t="str">
        <f>"2.1.3.01.01- IRRF Fonte Folha Pagto"</f>
        <v>2.1.3.01.01- IRRF Fonte Folha Pagto</v>
      </c>
      <c r="B144" s="10">
        <v>439461.16</v>
      </c>
      <c r="C144" s="10">
        <v>633570.47</v>
      </c>
      <c r="D144" s="10">
        <v>1073031.6299999999</v>
      </c>
    </row>
    <row r="145" spans="1:4" x14ac:dyDescent="0.25">
      <c r="A145" s="2" t="str">
        <f>"2.1.3.01.03- IRRF Fonte - Pessoa  Juridica e Física"</f>
        <v>2.1.3.01.03- IRRF Fonte - Pessoa  Juridica e Física</v>
      </c>
      <c r="B145" s="10">
        <v>13914.17</v>
      </c>
      <c r="C145" s="10">
        <v>8378.9</v>
      </c>
      <c r="D145" s="10">
        <v>22293.07</v>
      </c>
    </row>
    <row r="146" spans="1:4" x14ac:dyDescent="0.25">
      <c r="A146" s="2" t="str">
        <f>"2.1.3.01.05- ISS S/ Faturamento"</f>
        <v>2.1.3.01.05- ISS S/ Faturamento</v>
      </c>
      <c r="B146" s="10">
        <v>2025.51</v>
      </c>
      <c r="C146" s="10">
        <v>148.37</v>
      </c>
      <c r="D146" s="10">
        <v>2173.88</v>
      </c>
    </row>
    <row r="147" spans="1:4" x14ac:dyDescent="0.25">
      <c r="A147" s="2" t="str">
        <f>"2.1.3.01.07- COFINS a Recolher"</f>
        <v>2.1.3.01.07- COFINS a Recolher</v>
      </c>
      <c r="B147" s="10">
        <v>727219.03</v>
      </c>
      <c r="C147" s="10">
        <v>-53590.28</v>
      </c>
      <c r="D147" s="10">
        <v>673628.75</v>
      </c>
    </row>
    <row r="148" spans="1:4" x14ac:dyDescent="0.25">
      <c r="A148" s="2" t="str">
        <f>"2.1.3.01.08- PIS a Recolher"</f>
        <v>2.1.3.01.08- PIS a Recolher</v>
      </c>
      <c r="B148" s="10">
        <v>157674.84</v>
      </c>
      <c r="C148" s="10">
        <v>-11657.38</v>
      </c>
      <c r="D148" s="10">
        <v>146017.46</v>
      </c>
    </row>
    <row r="149" spans="1:4" x14ac:dyDescent="0.25">
      <c r="A149" s="2" t="str">
        <f>"2.1.3.01.09- ISS Fonte a Recolher P.Juridica"</f>
        <v>2.1.3.01.09- ISS Fonte a Recolher P.Juridica</v>
      </c>
      <c r="B149" s="10">
        <v>5686.23</v>
      </c>
      <c r="C149" s="10">
        <v>1549.38</v>
      </c>
      <c r="D149" s="10">
        <v>7235.61</v>
      </c>
    </row>
    <row r="150" spans="1:4" x14ac:dyDescent="0.25">
      <c r="A150" s="2" t="str">
        <f>"2.1.3.01.12- CSLL-COFINS-PIS - FONTE"</f>
        <v>2.1.3.01.12- CSLL-COFINS-PIS - FONTE</v>
      </c>
      <c r="B150" s="10">
        <v>71962.960000000006</v>
      </c>
      <c r="C150" s="10">
        <v>45445.64</v>
      </c>
      <c r="D150" s="10">
        <v>117408.6</v>
      </c>
    </row>
    <row r="151" spans="1:4" x14ac:dyDescent="0.25">
      <c r="A151" s="2" t="str">
        <f>"2.1.4.00.00- OUTRAS OBRIGACOES A CURTO PRAZO"</f>
        <v>2.1.4.00.00- OUTRAS OBRIGACOES A CURTO PRAZO</v>
      </c>
      <c r="B151" s="10">
        <v>21046587.030000001</v>
      </c>
      <c r="C151" s="10">
        <v>11194889.470000001</v>
      </c>
      <c r="D151" s="10">
        <v>32241476.5</v>
      </c>
    </row>
    <row r="152" spans="1:4" x14ac:dyDescent="0.25">
      <c r="A152" s="2" t="str">
        <f>"2.1.4.01.00- FORNECEDORES"</f>
        <v>2.1.4.01.00- FORNECEDORES</v>
      </c>
      <c r="B152" s="10">
        <v>2874756.28</v>
      </c>
      <c r="C152" s="10">
        <v>-169874.62</v>
      </c>
      <c r="D152" s="10">
        <v>2704881.66</v>
      </c>
    </row>
    <row r="153" spans="1:4" x14ac:dyDescent="0.25">
      <c r="A153" s="2" t="str">
        <f>"2.1.4.01.99- Fornecedores"</f>
        <v>2.1.4.01.99- Fornecedores</v>
      </c>
      <c r="B153" s="10">
        <v>2874756.28</v>
      </c>
      <c r="C153" s="10">
        <v>-169874.62</v>
      </c>
      <c r="D153" s="10">
        <v>2704881.66</v>
      </c>
    </row>
    <row r="154" spans="1:4" x14ac:dyDescent="0.25">
      <c r="A154" s="2" t="str">
        <f>"2.1.4.02.00- CONTAS A PAGAR"</f>
        <v>2.1.4.02.00- CONTAS A PAGAR</v>
      </c>
      <c r="B154" s="10">
        <v>285257.24</v>
      </c>
      <c r="C154" s="10">
        <v>2511.5300000000002</v>
      </c>
      <c r="D154" s="10">
        <v>287768.77</v>
      </c>
    </row>
    <row r="155" spans="1:4" x14ac:dyDescent="0.25">
      <c r="A155" s="2" t="str">
        <f>"2.1.4.02.01- Emprestimo Consignado - Bradesco"</f>
        <v>2.1.4.02.01- Emprestimo Consignado - Bradesco</v>
      </c>
      <c r="B155" s="10">
        <v>66103.509999999995</v>
      </c>
      <c r="C155" s="10">
        <v>2492.46</v>
      </c>
      <c r="D155" s="10">
        <v>68595.97</v>
      </c>
    </row>
    <row r="156" spans="1:4" x14ac:dyDescent="0.25">
      <c r="A156" s="2" t="str">
        <f>"2.1.4.02.03- Emprestimo Consignado - CEF"</f>
        <v>2.1.4.02.03- Emprestimo Consignado - CEF</v>
      </c>
      <c r="B156" s="10">
        <v>36739.050000000003</v>
      </c>
      <c r="C156" s="10">
        <v>-730.29</v>
      </c>
      <c r="D156" s="10">
        <v>36008.76</v>
      </c>
    </row>
    <row r="157" spans="1:4" x14ac:dyDescent="0.25">
      <c r="A157" s="2" t="str">
        <f>"2.1.4.02.04- Emprestimo Consignado - B.Brasil"</f>
        <v>2.1.4.02.04- Emprestimo Consignado - B.Brasil</v>
      </c>
      <c r="B157" s="10">
        <v>70485.17</v>
      </c>
      <c r="C157" s="10">
        <v>-1724.04</v>
      </c>
      <c r="D157" s="10">
        <v>68761.13</v>
      </c>
    </row>
    <row r="158" spans="1:4" x14ac:dyDescent="0.25">
      <c r="A158" s="2" t="str">
        <f>"2.1.4.02.05- Emprestimo Consignado-Banco Alfa"</f>
        <v>2.1.4.02.05- Emprestimo Consignado-Banco Alfa</v>
      </c>
      <c r="B158" s="10">
        <v>72280.570000000007</v>
      </c>
      <c r="C158" s="10">
        <v>-788.69</v>
      </c>
      <c r="D158" s="10">
        <v>71491.88</v>
      </c>
    </row>
    <row r="159" spans="1:4" x14ac:dyDescent="0.25">
      <c r="A159" s="2" t="str">
        <f>"2.1.4.02.07- Emprestimo Consignado - B. Safra"</f>
        <v>2.1.4.02.07- Emprestimo Consignado - B. Safra</v>
      </c>
      <c r="B159" s="10">
        <v>18655.98</v>
      </c>
      <c r="C159" s="10">
        <v>-621.55999999999995</v>
      </c>
      <c r="D159" s="10">
        <v>18034.419999999998</v>
      </c>
    </row>
    <row r="160" spans="1:4" x14ac:dyDescent="0.25">
      <c r="A160" s="2" t="str">
        <f>"2.1.4.02.08- Emprestimo Consignado - BMG"</f>
        <v>2.1.4.02.08- Emprestimo Consignado - BMG</v>
      </c>
      <c r="B160" s="10">
        <v>1048.25</v>
      </c>
      <c r="C160" s="10">
        <v>-906.7</v>
      </c>
      <c r="D160" s="10">
        <v>141.55000000000001</v>
      </c>
    </row>
    <row r="161" spans="1:4" x14ac:dyDescent="0.25">
      <c r="A161" s="2" t="str">
        <f>"2.1.4.02.09- Emprestimo Consignado - BMC"</f>
        <v>2.1.4.02.09- Emprestimo Consignado - BMC</v>
      </c>
      <c r="B161" s="10">
        <v>1000.35</v>
      </c>
      <c r="C161" s="10">
        <v>0</v>
      </c>
      <c r="D161" s="10">
        <v>1000.35</v>
      </c>
    </row>
    <row r="162" spans="1:4" x14ac:dyDescent="0.25">
      <c r="A162" s="2" t="str">
        <f>"2.1.4.02.10- Cartão - BMG Card"</f>
        <v>2.1.4.02.10- Cartão - BMG Card</v>
      </c>
      <c r="B162" s="10">
        <v>7742.05</v>
      </c>
      <c r="C162" s="10">
        <v>-847.83</v>
      </c>
      <c r="D162" s="10">
        <v>6894.22</v>
      </c>
    </row>
    <row r="163" spans="1:4" x14ac:dyDescent="0.25">
      <c r="A163" s="2" t="str">
        <f>"2.1.4.02.11- Contrib.Entid.Classe"</f>
        <v>2.1.4.02.11- Contrib.Entid.Classe</v>
      </c>
      <c r="B163" s="10">
        <v>0</v>
      </c>
      <c r="C163" s="10">
        <v>214.82</v>
      </c>
      <c r="D163" s="10">
        <v>214.82</v>
      </c>
    </row>
    <row r="164" spans="1:4" x14ac:dyDescent="0.25">
      <c r="A164" s="2" t="str">
        <f>"2.1.4.02.12- Custas judiciais"</f>
        <v>2.1.4.02.12- Custas judiciais</v>
      </c>
      <c r="B164" s="10">
        <v>0</v>
      </c>
      <c r="C164" s="10">
        <v>273.12</v>
      </c>
      <c r="D164" s="10">
        <v>273.12</v>
      </c>
    </row>
    <row r="165" spans="1:4" x14ac:dyDescent="0.25">
      <c r="A165" s="2" t="str">
        <f>"2.1.4.02.99- Contas a Pagar"</f>
        <v>2.1.4.02.99- Contas a Pagar</v>
      </c>
      <c r="B165" s="10">
        <v>11202.31</v>
      </c>
      <c r="C165" s="10">
        <v>5150.24</v>
      </c>
      <c r="D165" s="10">
        <v>16352.55</v>
      </c>
    </row>
    <row r="166" spans="1:4" x14ac:dyDescent="0.25">
      <c r="A166" s="2" t="str">
        <f>"2.1.4.03.00- CREDORES DIVERSOS"</f>
        <v>2.1.4.03.00- CREDORES DIVERSOS</v>
      </c>
      <c r="B166" s="10">
        <v>17330095.629999999</v>
      </c>
      <c r="C166" s="10">
        <v>11362252.560000001</v>
      </c>
      <c r="D166" s="10">
        <v>28692348.190000001</v>
      </c>
    </row>
    <row r="167" spans="1:4" x14ac:dyDescent="0.25">
      <c r="A167" s="2" t="str">
        <f>"2.1.4.03.07- Adiantamento Acionista - Municipio BH"</f>
        <v>2.1.4.03.07- Adiantamento Acionista - Municipio BH</v>
      </c>
      <c r="B167" s="10">
        <v>16477785.689999999</v>
      </c>
      <c r="C167" s="10">
        <v>11298049.93</v>
      </c>
      <c r="D167" s="10">
        <v>27775835.620000001</v>
      </c>
    </row>
    <row r="168" spans="1:4" x14ac:dyDescent="0.25">
      <c r="A168" s="2" t="str">
        <f>"2.1.4.03.17- Adiantamento de Clientes"</f>
        <v>2.1.4.03.17- Adiantamento de Clientes</v>
      </c>
      <c r="B168" s="10">
        <v>852309.94</v>
      </c>
      <c r="C168" s="10">
        <v>64202.63</v>
      </c>
      <c r="D168" s="10">
        <v>916512.57</v>
      </c>
    </row>
    <row r="169" spans="1:4" x14ac:dyDescent="0.25">
      <c r="A169" s="2" t="str">
        <f>"2.1.4.04.00- CAUCAO DE TERCEIROS/LEILAO"</f>
        <v>2.1.4.04.00- CAUCAO DE TERCEIROS/LEILAO</v>
      </c>
      <c r="B169" s="10">
        <v>556477.88</v>
      </c>
      <c r="C169" s="10">
        <v>0</v>
      </c>
      <c r="D169" s="10">
        <v>556477.88</v>
      </c>
    </row>
    <row r="170" spans="1:4" x14ac:dyDescent="0.25">
      <c r="A170" s="2" t="str">
        <f>"2.1.4.04.98- Leilões"</f>
        <v>2.1.4.04.98- Leilões</v>
      </c>
      <c r="B170" s="10">
        <v>373057.34</v>
      </c>
      <c r="C170" s="10">
        <v>0</v>
      </c>
      <c r="D170" s="10">
        <v>373057.34</v>
      </c>
    </row>
    <row r="171" spans="1:4" x14ac:dyDescent="0.25">
      <c r="A171" s="2" t="str">
        <f>"2.1.4.04.99- Caucao de Terceiros"</f>
        <v>2.1.4.04.99- Caucao de Terceiros</v>
      </c>
      <c r="B171" s="10">
        <v>183420.54</v>
      </c>
      <c r="C171" s="10">
        <v>0</v>
      </c>
      <c r="D171" s="10">
        <v>183420.54</v>
      </c>
    </row>
    <row r="172" spans="1:4" x14ac:dyDescent="0.25">
      <c r="A172" s="2" t="str">
        <f>"2.1.6.00.00- OBRIGACOES VINC. A PAGAR-PAMEH"</f>
        <v>2.1.6.00.00- OBRIGACOES VINC. A PAGAR-PAMEH</v>
      </c>
      <c r="B172" s="10">
        <v>84542.87</v>
      </c>
      <c r="C172" s="10">
        <v>2072.75</v>
      </c>
      <c r="D172" s="10">
        <v>86615.62</v>
      </c>
    </row>
    <row r="173" spans="1:4" x14ac:dyDescent="0.25">
      <c r="A173" s="2" t="str">
        <f>"2.1.6.01.00- OBRIGACOES VINC. -PAMEH"</f>
        <v>2.1.6.01.00- OBRIGACOES VINC. -PAMEH</v>
      </c>
      <c r="B173" s="10">
        <v>84542.87</v>
      </c>
      <c r="C173" s="10">
        <v>2072.75</v>
      </c>
      <c r="D173" s="10">
        <v>86615.62</v>
      </c>
    </row>
    <row r="174" spans="1:4" x14ac:dyDescent="0.25">
      <c r="A174" s="2" t="str">
        <f>"2.1.6.01.01- Obrigacoes Vinculadas - PAMEH"</f>
        <v>2.1.6.01.01- Obrigacoes Vinculadas - PAMEH</v>
      </c>
      <c r="B174" s="10">
        <v>84542.87</v>
      </c>
      <c r="C174" s="10">
        <v>2072.75</v>
      </c>
      <c r="D174" s="10">
        <v>86615.62</v>
      </c>
    </row>
    <row r="175" spans="1:4" x14ac:dyDescent="0.25">
      <c r="A175" s="2" t="str">
        <f>"2.2.0.00.00- PASSIVO NAO CIRCULANTE"</f>
        <v>2.2.0.00.00- PASSIVO NAO CIRCULANTE</v>
      </c>
      <c r="B175" s="10">
        <v>39834169.479999997</v>
      </c>
      <c r="C175" s="10">
        <v>-154763.04999999999</v>
      </c>
      <c r="D175" s="10">
        <v>39679406.43</v>
      </c>
    </row>
    <row r="176" spans="1:4" x14ac:dyDescent="0.25">
      <c r="A176" s="2" t="str">
        <f>"2.2.4.00.00- OUTRAS OBRIGACOES A LONGO PRAZO"</f>
        <v>2.2.4.00.00- OUTRAS OBRIGACOES A LONGO PRAZO</v>
      </c>
      <c r="B176" s="10">
        <v>35696214.509999998</v>
      </c>
      <c r="C176" s="10">
        <v>3507.36</v>
      </c>
      <c r="D176" s="10">
        <v>35699721.869999997</v>
      </c>
    </row>
    <row r="177" spans="1:4" x14ac:dyDescent="0.25">
      <c r="A177" s="2" t="str">
        <f>"2.2.4.01.00- CREDORES DIVERSOS"</f>
        <v>2.2.4.01.00- CREDORES DIVERSOS</v>
      </c>
      <c r="B177" s="10">
        <v>15048557.66</v>
      </c>
      <c r="C177" s="10">
        <v>0</v>
      </c>
      <c r="D177" s="10">
        <v>15048557.66</v>
      </c>
    </row>
    <row r="178" spans="1:4" x14ac:dyDescent="0.25">
      <c r="A178" s="2" t="str">
        <f>"2.2.4.01.04- Provisão para Contingências Fiscais"</f>
        <v>2.2.4.01.04- Provisão para Contingências Fiscais</v>
      </c>
      <c r="B178" s="10">
        <v>14106702.720000001</v>
      </c>
      <c r="C178" s="10">
        <v>0</v>
      </c>
      <c r="D178" s="10">
        <v>14106702.720000001</v>
      </c>
    </row>
    <row r="179" spans="1:4" x14ac:dyDescent="0.25">
      <c r="A179" s="2" t="str">
        <f>"2.2.4.01.05- INSS Segurados"</f>
        <v>2.2.4.01.05- INSS Segurados</v>
      </c>
      <c r="B179" s="10">
        <v>941854.94</v>
      </c>
      <c r="C179" s="10">
        <v>0</v>
      </c>
      <c r="D179" s="10">
        <v>941854.94</v>
      </c>
    </row>
    <row r="180" spans="1:4" x14ac:dyDescent="0.25">
      <c r="A180" s="2" t="str">
        <f>"2.2.4.04.00- ACOES JUDICIAIS E TRABALHISTAS"</f>
        <v>2.2.4.04.00- ACOES JUDICIAIS E TRABALHISTAS</v>
      </c>
      <c r="B180" s="10">
        <v>20647656.850000001</v>
      </c>
      <c r="C180" s="10">
        <v>3507.36</v>
      </c>
      <c r="D180" s="10">
        <v>20651164.210000001</v>
      </c>
    </row>
    <row r="181" spans="1:4" x14ac:dyDescent="0.25">
      <c r="A181" s="2" t="str">
        <f>"2.2.4.04.01- Acoes judiciais"</f>
        <v>2.2.4.04.01- Acoes judiciais</v>
      </c>
      <c r="B181" s="10">
        <v>16358380.48</v>
      </c>
      <c r="C181" s="10">
        <v>3507.36</v>
      </c>
      <c r="D181" s="10">
        <v>16361887.84</v>
      </c>
    </row>
    <row r="182" spans="1:4" x14ac:dyDescent="0.25">
      <c r="A182" s="2" t="str">
        <f>"2.2.4.04.02- Acoes trabalhistas"</f>
        <v>2.2.4.04.02- Acoes trabalhistas</v>
      </c>
      <c r="B182" s="10">
        <v>4289276.37</v>
      </c>
      <c r="C182" s="10">
        <v>0</v>
      </c>
      <c r="D182" s="10">
        <v>4289276.37</v>
      </c>
    </row>
    <row r="183" spans="1:4" x14ac:dyDescent="0.25">
      <c r="A183" s="2" t="str">
        <f>"2.2.5.00.00- OBRIGACOES VINC.  AO PAMEH"</f>
        <v>2.2.5.00.00- OBRIGACOES VINC.  AO PAMEH</v>
      </c>
      <c r="B183" s="10">
        <v>4137954.97</v>
      </c>
      <c r="C183" s="10">
        <v>-158270.41</v>
      </c>
      <c r="D183" s="10">
        <v>3979684.56</v>
      </c>
    </row>
    <row r="184" spans="1:4" x14ac:dyDescent="0.25">
      <c r="A184" s="2" t="str">
        <f>"2.2.5.01.00- OBRIGACOES VINC.  AO PAMEH"</f>
        <v>2.2.5.01.00- OBRIGACOES VINC.  AO PAMEH</v>
      </c>
      <c r="B184" s="10">
        <v>4137954.97</v>
      </c>
      <c r="C184" s="10">
        <v>-158270.41</v>
      </c>
      <c r="D184" s="10">
        <v>3979684.56</v>
      </c>
    </row>
    <row r="185" spans="1:4" x14ac:dyDescent="0.25">
      <c r="A185" s="2" t="str">
        <f>"2.2.5.01.01- Resultado Exerc.Anteriores-PAMEH"</f>
        <v>2.2.5.01.01- Resultado Exerc.Anteriores-PAMEH</v>
      </c>
      <c r="B185" s="10">
        <v>3457128.18</v>
      </c>
      <c r="C185" s="10">
        <v>0</v>
      </c>
      <c r="D185" s="10">
        <v>3457128.18</v>
      </c>
    </row>
    <row r="186" spans="1:4" x14ac:dyDescent="0.25">
      <c r="A186" s="2" t="str">
        <f>"2.2.5.01.02- Resultado deste Exercicio-PAMEH"</f>
        <v>2.2.5.01.02- Resultado deste Exercicio-PAMEH</v>
      </c>
      <c r="B186" s="10">
        <v>-909114.98</v>
      </c>
      <c r="C186" s="10">
        <v>-158270.41</v>
      </c>
      <c r="D186" s="10">
        <v>-1067385.3899999999</v>
      </c>
    </row>
    <row r="187" spans="1:4" x14ac:dyDescent="0.25">
      <c r="A187" s="2" t="str">
        <f>"2.2.5.01.03- Ajuste Exercício Anterior - PAMEH"</f>
        <v>2.2.5.01.03- Ajuste Exercício Anterior - PAMEH</v>
      </c>
      <c r="B187" s="10">
        <v>1589941.77</v>
      </c>
      <c r="C187" s="10">
        <v>0</v>
      </c>
      <c r="D187" s="10">
        <v>1589941.77</v>
      </c>
    </row>
    <row r="188" spans="1:4" x14ac:dyDescent="0.25">
      <c r="A188" s="2" t="str">
        <f>"2.4.0.00.00- PATRIMONIO LIQUIDO"</f>
        <v>2.4.0.00.00- PATRIMONIO LIQUIDO</v>
      </c>
      <c r="B188" s="10">
        <v>-63969238.780000001</v>
      </c>
      <c r="C188" s="10">
        <v>6642.45</v>
      </c>
      <c r="D188" s="10">
        <v>-63962596.329999998</v>
      </c>
    </row>
    <row r="189" spans="1:4" x14ac:dyDescent="0.25">
      <c r="A189" s="2" t="str">
        <f>"2.4.1.00.00- CAPITAL SOCIAL"</f>
        <v>2.4.1.00.00- CAPITAL SOCIAL</v>
      </c>
      <c r="B189" s="10">
        <v>67418193.159999996</v>
      </c>
      <c r="C189" s="10">
        <v>0</v>
      </c>
      <c r="D189" s="10">
        <v>67418193.159999996</v>
      </c>
    </row>
    <row r="190" spans="1:4" x14ac:dyDescent="0.25">
      <c r="A190" s="2" t="str">
        <f>"2.4.1.02.00- CAPITAL REALIZADO"</f>
        <v>2.4.1.02.00- CAPITAL REALIZADO</v>
      </c>
      <c r="B190" s="10">
        <v>67418193.159999996</v>
      </c>
      <c r="C190" s="10">
        <v>0</v>
      </c>
      <c r="D190" s="10">
        <v>67418193.159999996</v>
      </c>
    </row>
    <row r="191" spans="1:4" x14ac:dyDescent="0.25">
      <c r="A191" s="2" t="str">
        <f>"2.4.1.02.01- Capital Subscrito"</f>
        <v>2.4.1.02.01- Capital Subscrito</v>
      </c>
      <c r="B191" s="10">
        <v>75000000</v>
      </c>
      <c r="C191" s="10">
        <v>0</v>
      </c>
      <c r="D191" s="10">
        <v>75000000</v>
      </c>
    </row>
    <row r="192" spans="1:4" x14ac:dyDescent="0.25">
      <c r="A192" s="2" t="str">
        <f>"2.4.1.02.04- Capital a Realizar"</f>
        <v>2.4.1.02.04- Capital a Realizar</v>
      </c>
      <c r="B192" s="10">
        <v>-7581806.8399999999</v>
      </c>
      <c r="C192" s="10">
        <v>0</v>
      </c>
      <c r="D192" s="10">
        <v>-7581806.8399999999</v>
      </c>
    </row>
    <row r="193" spans="1:4" x14ac:dyDescent="0.25">
      <c r="A193" s="2" t="str">
        <f>"2.4.3.00.00- RESULTADOS ACUMULADOS"</f>
        <v>2.4.3.00.00- RESULTADOS ACUMULADOS</v>
      </c>
      <c r="B193" s="10">
        <v>-131387431.94</v>
      </c>
      <c r="C193" s="10">
        <v>6642.45</v>
      </c>
      <c r="D193" s="10">
        <v>-131380789.48999999</v>
      </c>
    </row>
    <row r="194" spans="1:4" x14ac:dyDescent="0.25">
      <c r="A194" s="2" t="str">
        <f>"2.4.3.01.00- LUCROS/PREJUIZOS ACUMULADOS"</f>
        <v>2.4.3.01.00- LUCROS/PREJUIZOS ACUMULADOS</v>
      </c>
      <c r="B194" s="10">
        <v>-131387431.94</v>
      </c>
      <c r="C194" s="10">
        <v>6642.45</v>
      </c>
      <c r="D194" s="10">
        <v>-131380789.48999999</v>
      </c>
    </row>
    <row r="195" spans="1:4" x14ac:dyDescent="0.25">
      <c r="A195" s="2" t="str">
        <f>"2.4.3.01.01- Resultados de Exerc. Anteriores"</f>
        <v>2.4.3.01.01- Resultados de Exerc. Anteriores</v>
      </c>
      <c r="B195" s="10">
        <v>-131329846.40000001</v>
      </c>
      <c r="C195" s="10">
        <v>0</v>
      </c>
      <c r="D195" s="10">
        <v>-131329846.40000001</v>
      </c>
    </row>
    <row r="196" spans="1:4" x14ac:dyDescent="0.25">
      <c r="A196" s="2" t="str">
        <f>"2.4.3.01.03- Ajuste do Exercicio Anterior"</f>
        <v>2.4.3.01.03- Ajuste do Exercicio Anterior</v>
      </c>
      <c r="B196" s="10">
        <v>-57585.54</v>
      </c>
      <c r="C196" s="10">
        <v>6642.45</v>
      </c>
      <c r="D196" s="10">
        <v>-50943.09</v>
      </c>
    </row>
    <row r="197" spans="1:4" x14ac:dyDescent="0.25">
      <c r="A197" s="2" t="str">
        <f>""</f>
        <v/>
      </c>
      <c r="B197" s="3" t="str">
        <f>""</f>
        <v/>
      </c>
      <c r="C197" s="3" t="str">
        <f>""</f>
        <v/>
      </c>
      <c r="D197" s="3" t="str">
        <f>""</f>
        <v/>
      </c>
    </row>
    <row r="198" spans="1:4" x14ac:dyDescent="0.25">
      <c r="A198" s="2" t="str">
        <f>""</f>
        <v/>
      </c>
      <c r="B198" s="3" t="str">
        <f>""</f>
        <v/>
      </c>
      <c r="C198" s="3" t="str">
        <f>""</f>
        <v/>
      </c>
      <c r="D198" s="3" t="str">
        <f>""</f>
        <v/>
      </c>
    </row>
    <row r="199" spans="1:4" x14ac:dyDescent="0.25">
      <c r="A199" s="2" t="str">
        <f>""</f>
        <v/>
      </c>
      <c r="B199" s="3" t="str">
        <f>""</f>
        <v/>
      </c>
      <c r="C199" s="3" t="str">
        <f>""</f>
        <v/>
      </c>
      <c r="D199" s="3" t="str">
        <f>""</f>
        <v/>
      </c>
    </row>
    <row r="200" spans="1:4" x14ac:dyDescent="0.25">
      <c r="A200" s="2" t="str">
        <f>""</f>
        <v/>
      </c>
      <c r="B200" s="3" t="str">
        <f>""</f>
        <v/>
      </c>
      <c r="C200" s="3" t="str">
        <f>""</f>
        <v/>
      </c>
      <c r="D200" s="3" t="str">
        <f>""</f>
        <v/>
      </c>
    </row>
    <row r="201" spans="1:4" x14ac:dyDescent="0.25">
      <c r="A201" s="2" t="str">
        <f>""</f>
        <v/>
      </c>
      <c r="B201" s="3" t="str">
        <f>""</f>
        <v/>
      </c>
      <c r="C201" s="3" t="str">
        <f>""</f>
        <v/>
      </c>
      <c r="D201" s="3" t="str">
        <f>""</f>
        <v/>
      </c>
    </row>
    <row r="202" spans="1:4" x14ac:dyDescent="0.25">
      <c r="A202" s="2" t="str">
        <f>""</f>
        <v/>
      </c>
      <c r="B202" s="3" t="str">
        <f>""</f>
        <v/>
      </c>
      <c r="C202" s="3" t="str">
        <f>""</f>
        <v/>
      </c>
      <c r="D202" s="3" t="str">
        <f>""</f>
        <v/>
      </c>
    </row>
    <row r="203" spans="1:4" x14ac:dyDescent="0.25">
      <c r="A203" s="2" t="str">
        <f>""</f>
        <v/>
      </c>
      <c r="B203" s="3" t="str">
        <f>""</f>
        <v/>
      </c>
      <c r="C203" s="3" t="str">
        <f>""</f>
        <v/>
      </c>
      <c r="D203" s="3" t="str">
        <f>""</f>
        <v/>
      </c>
    </row>
    <row r="204" spans="1:4" x14ac:dyDescent="0.25">
      <c r="A204" s="2" t="str">
        <f>"DESPESAS"</f>
        <v>DESPESAS</v>
      </c>
      <c r="B204" s="3" t="str">
        <f>""</f>
        <v/>
      </c>
      <c r="C204" s="3" t="str">
        <f>""</f>
        <v/>
      </c>
      <c r="D204" s="3" t="str">
        <f>""</f>
        <v/>
      </c>
    </row>
    <row r="205" spans="1:4" x14ac:dyDescent="0.25">
      <c r="A205" s="2" t="str">
        <f>"3.0.0.00.00- DESPESAS"</f>
        <v>3.0.0.00.00- DESPESAS</v>
      </c>
      <c r="B205" s="10">
        <v>75816660.459999993</v>
      </c>
      <c r="C205" s="10">
        <v>13509126.27</v>
      </c>
      <c r="D205" s="10">
        <v>89325786.730000004</v>
      </c>
    </row>
    <row r="206" spans="1:4" x14ac:dyDescent="0.25">
      <c r="A206" s="2" t="str">
        <f>"3.1.0.00.00- DESPESAS OPERACIONAIS"</f>
        <v>3.1.0.00.00- DESPESAS OPERACIONAIS</v>
      </c>
      <c r="B206" s="10">
        <v>75816660.459999993</v>
      </c>
      <c r="C206" s="10">
        <v>13509126.27</v>
      </c>
      <c r="D206" s="10">
        <v>89325786.730000004</v>
      </c>
    </row>
    <row r="207" spans="1:4" x14ac:dyDescent="0.25">
      <c r="A207" s="2" t="str">
        <f>"3.1.1.00.00- SALARIOS ADICIONAIS E HONORARIOS"</f>
        <v>3.1.1.00.00- SALARIOS ADICIONAIS E HONORARIOS</v>
      </c>
      <c r="B207" s="10">
        <v>38135852.869999997</v>
      </c>
      <c r="C207" s="10">
        <v>6335265.2400000002</v>
      </c>
      <c r="D207" s="10">
        <v>44471118.109999999</v>
      </c>
    </row>
    <row r="208" spans="1:4" x14ac:dyDescent="0.25">
      <c r="A208" s="2" t="str">
        <f>"3.1.1.00.01- Honorarios diretoria"</f>
        <v>3.1.1.00.01- Honorarios diretoria</v>
      </c>
      <c r="B208" s="10">
        <v>478490.75</v>
      </c>
      <c r="C208" s="10">
        <v>47151.41</v>
      </c>
      <c r="D208" s="10">
        <v>525642.16</v>
      </c>
    </row>
    <row r="209" spans="1:4" x14ac:dyDescent="0.25">
      <c r="A209" s="2" t="str">
        <f>"3.1.1.00.02- Honorarios conselho fiscal"</f>
        <v>3.1.1.00.02- Honorarios conselho fiscal</v>
      </c>
      <c r="B209" s="10">
        <v>31877.82</v>
      </c>
      <c r="C209" s="10">
        <v>5311.5</v>
      </c>
      <c r="D209" s="10">
        <v>37189.32</v>
      </c>
    </row>
    <row r="210" spans="1:4" x14ac:dyDescent="0.25">
      <c r="A210" s="2" t="str">
        <f>"3.1.1.00.03- Honorarios cons. administracao"</f>
        <v>3.1.1.00.03- Honorarios cons. administracao</v>
      </c>
      <c r="B210" s="10">
        <v>63699.86</v>
      </c>
      <c r="C210" s="10">
        <v>10613.71</v>
      </c>
      <c r="D210" s="10">
        <v>74313.570000000007</v>
      </c>
    </row>
    <row r="211" spans="1:4" x14ac:dyDescent="0.25">
      <c r="A211" s="2" t="str">
        <f>"3.1.1.00.04- Salarios e adicionais"</f>
        <v>3.1.1.00.04- Salarios e adicionais</v>
      </c>
      <c r="B211" s="10">
        <v>27782765.059999999</v>
      </c>
      <c r="C211" s="10">
        <v>5502430.7000000002</v>
      </c>
      <c r="D211" s="10">
        <v>33285195.760000002</v>
      </c>
    </row>
    <row r="212" spans="1:4" x14ac:dyDescent="0.25">
      <c r="A212" s="2" t="str">
        <f>"3.1.1.00.05- Ferias e abono pecuniario"</f>
        <v>3.1.1.00.05- Ferias e abono pecuniario</v>
      </c>
      <c r="B212" s="10">
        <v>4495720.41</v>
      </c>
      <c r="C212" s="10">
        <v>792387.63</v>
      </c>
      <c r="D212" s="10">
        <v>5288108.04</v>
      </c>
    </row>
    <row r="213" spans="1:4" x14ac:dyDescent="0.25">
      <c r="A213" s="2" t="str">
        <f>"3.1.1.00.06- Decimo terceiro salario"</f>
        <v>3.1.1.00.06- Decimo terceiro salario</v>
      </c>
      <c r="B213" s="10">
        <v>2684783.75</v>
      </c>
      <c r="C213" s="10">
        <v>480288.51</v>
      </c>
      <c r="D213" s="10">
        <v>3165072.26</v>
      </c>
    </row>
    <row r="214" spans="1:4" x14ac:dyDescent="0.25">
      <c r="A214" s="2" t="str">
        <f>"3.1.1.00.07- Indenizacoes trabalhistas"</f>
        <v>3.1.1.00.07- Indenizacoes trabalhistas</v>
      </c>
      <c r="B214" s="10">
        <v>25710.05</v>
      </c>
      <c r="C214" s="10">
        <v>4148.3900000000003</v>
      </c>
      <c r="D214" s="10">
        <v>29858.44</v>
      </c>
    </row>
    <row r="215" spans="1:4" x14ac:dyDescent="0.25">
      <c r="A215" s="2" t="str">
        <f>"3.1.1.00.08- Bolsas de estagiario"</f>
        <v>3.1.1.00.08- Bolsas de estagiario</v>
      </c>
      <c r="B215" s="10">
        <v>91268.49</v>
      </c>
      <c r="C215" s="10">
        <v>12640.64</v>
      </c>
      <c r="D215" s="10">
        <v>103909.13</v>
      </c>
    </row>
    <row r="216" spans="1:4" x14ac:dyDescent="0.25">
      <c r="A216" s="2" t="str">
        <f>"3.1.1.00.10- Indenizações trabalhistas - ACT"</f>
        <v>3.1.1.00.10- Indenizações trabalhistas - ACT</v>
      </c>
      <c r="B216" s="10">
        <v>2481536.6800000002</v>
      </c>
      <c r="C216" s="10">
        <v>-519707.25</v>
      </c>
      <c r="D216" s="10">
        <v>1961829.43</v>
      </c>
    </row>
    <row r="217" spans="1:4" x14ac:dyDescent="0.25">
      <c r="A217" s="2" t="str">
        <f>"3.1.2.01.00- ENCARGOS SOCIAIS"</f>
        <v>3.1.2.01.00- ENCARGOS SOCIAIS</v>
      </c>
      <c r="B217" s="10">
        <v>17822127.539999999</v>
      </c>
      <c r="C217" s="10">
        <v>2598831.46</v>
      </c>
      <c r="D217" s="10">
        <v>20420959</v>
      </c>
    </row>
    <row r="218" spans="1:4" x14ac:dyDescent="0.25">
      <c r="A218" s="2" t="str">
        <f>"3.1.2.01.01- INSS"</f>
        <v>3.1.2.01.01- INSS</v>
      </c>
      <c r="B218" s="10">
        <v>13887372.720000001</v>
      </c>
      <c r="C218" s="10">
        <v>2021448.67</v>
      </c>
      <c r="D218" s="10">
        <v>15908821.390000001</v>
      </c>
    </row>
    <row r="219" spans="1:4" x14ac:dyDescent="0.25">
      <c r="A219" s="2" t="str">
        <f>"3.1.2.01.02- FGTS"</f>
        <v>3.1.2.01.02- FGTS</v>
      </c>
      <c r="B219" s="10">
        <v>3934754.82</v>
      </c>
      <c r="C219" s="10">
        <v>577382.79</v>
      </c>
      <c r="D219" s="10">
        <v>4512137.6100000003</v>
      </c>
    </row>
    <row r="220" spans="1:4" x14ac:dyDescent="0.25">
      <c r="A220" s="2" t="str">
        <f>"3.1.2.02.00- OUTRAS DESPESAS COM PESSOAL"</f>
        <v>3.1.2.02.00- OUTRAS DESPESAS COM PESSOAL</v>
      </c>
      <c r="B220" s="10">
        <v>6489410.9000000004</v>
      </c>
      <c r="C220" s="10">
        <v>1425676.84</v>
      </c>
      <c r="D220" s="10">
        <v>7915087.7400000002</v>
      </c>
    </row>
    <row r="221" spans="1:4" x14ac:dyDescent="0.25">
      <c r="A221" s="2" t="str">
        <f>"3.1.2.02.01- Seguros de Vida"</f>
        <v>3.1.2.02.01- Seguros de Vida</v>
      </c>
      <c r="B221" s="10">
        <v>87122.16</v>
      </c>
      <c r="C221" s="10">
        <v>12275.24</v>
      </c>
      <c r="D221" s="10">
        <v>99397.4</v>
      </c>
    </row>
    <row r="222" spans="1:4" x14ac:dyDescent="0.25">
      <c r="A222" s="2" t="str">
        <f>"3.1.2.02.02- Ass. Medica Odontologica"</f>
        <v>3.1.2.02.02- Ass. Medica Odontologica</v>
      </c>
      <c r="B222" s="10">
        <v>1647198.76</v>
      </c>
      <c r="C222" s="10">
        <v>398282.47</v>
      </c>
      <c r="D222" s="10">
        <v>2045481.23</v>
      </c>
    </row>
    <row r="223" spans="1:4" x14ac:dyDescent="0.25">
      <c r="A223" s="2" t="str">
        <f>"3.1.2.02.03- Vale Transporte"</f>
        <v>3.1.2.02.03- Vale Transporte</v>
      </c>
      <c r="B223" s="10">
        <v>622498.81000000006</v>
      </c>
      <c r="C223" s="10">
        <v>101783.4</v>
      </c>
      <c r="D223" s="10">
        <v>724282.21</v>
      </c>
    </row>
    <row r="224" spans="1:4" x14ac:dyDescent="0.25">
      <c r="A224" s="2" t="str">
        <f>"3.1.2.02.04- Vale Refeicao/Alimentacao"</f>
        <v>3.1.2.02.04- Vale Refeicao/Alimentacao</v>
      </c>
      <c r="B224" s="10">
        <v>3963549.86</v>
      </c>
      <c r="C224" s="10">
        <v>857645.99</v>
      </c>
      <c r="D224" s="10">
        <v>4821195.8499999996</v>
      </c>
    </row>
    <row r="225" spans="1:4" x14ac:dyDescent="0.25">
      <c r="A225" s="2" t="str">
        <f>"3.1.2.02.05- Compl. Auxilio Doenca"</f>
        <v>3.1.2.02.05- Compl. Auxilio Doenca</v>
      </c>
      <c r="B225" s="10">
        <v>37956.68</v>
      </c>
      <c r="C225" s="10">
        <v>27162.57</v>
      </c>
      <c r="D225" s="10">
        <v>65119.25</v>
      </c>
    </row>
    <row r="226" spans="1:4" x14ac:dyDescent="0.25">
      <c r="A226" s="2" t="str">
        <f>"3.1.2.02.06- Cursos e Treinamentos"</f>
        <v>3.1.2.02.06- Cursos e Treinamentos</v>
      </c>
      <c r="B226" s="10">
        <v>9356</v>
      </c>
      <c r="C226" s="10">
        <v>3946</v>
      </c>
      <c r="D226" s="10">
        <v>13302</v>
      </c>
    </row>
    <row r="227" spans="1:4" x14ac:dyDescent="0.25">
      <c r="A227" s="2" t="str">
        <f>"3.1.2.02.07- Auxilio Creche"</f>
        <v>3.1.2.02.07- Auxilio Creche</v>
      </c>
      <c r="B227" s="10">
        <v>121728.63</v>
      </c>
      <c r="C227" s="10">
        <v>24581.17</v>
      </c>
      <c r="D227" s="10">
        <v>146309.79999999999</v>
      </c>
    </row>
    <row r="228" spans="1:4" x14ac:dyDescent="0.25">
      <c r="A228" s="2" t="str">
        <f>"3.1.3.00.00- MATERIAIS"</f>
        <v>3.1.3.00.00- MATERIAIS</v>
      </c>
      <c r="B228" s="10">
        <v>427831.43</v>
      </c>
      <c r="C228" s="10">
        <v>72046.98</v>
      </c>
      <c r="D228" s="10">
        <v>499878.41</v>
      </c>
    </row>
    <row r="229" spans="1:4" x14ac:dyDescent="0.25">
      <c r="A229" s="2" t="str">
        <f>"3.1.3.00.01- Bens de natureza permanente"</f>
        <v>3.1.3.00.01- Bens de natureza permanente</v>
      </c>
      <c r="B229" s="10">
        <v>0</v>
      </c>
      <c r="C229" s="10">
        <v>339.4</v>
      </c>
      <c r="D229" s="10">
        <v>339.4</v>
      </c>
    </row>
    <row r="230" spans="1:4" x14ac:dyDescent="0.25">
      <c r="A230" s="2" t="str">
        <f>"3.1.3.00.05- Placas/acessorios/mat.fixacao"</f>
        <v>3.1.3.00.05- Placas/acessorios/mat.fixacao</v>
      </c>
      <c r="B230" s="10">
        <v>12705</v>
      </c>
      <c r="C230" s="10">
        <v>0</v>
      </c>
      <c r="D230" s="10">
        <v>12705</v>
      </c>
    </row>
    <row r="231" spans="1:4" x14ac:dyDescent="0.25">
      <c r="A231" s="2" t="str">
        <f>"3.1.3.00.08- Material seguranca e uniformes"</f>
        <v>3.1.3.00.08- Material seguranca e uniformes</v>
      </c>
      <c r="B231" s="10">
        <v>1723.49</v>
      </c>
      <c r="C231" s="10">
        <v>332.9</v>
      </c>
      <c r="D231" s="10">
        <v>2056.39</v>
      </c>
    </row>
    <row r="232" spans="1:4" x14ac:dyDescent="0.25">
      <c r="A232" s="2" t="str">
        <f>"3.1.3.00.09- Material limp/conserv/copa/cozin"</f>
        <v>3.1.3.00.09- Material limp/conserv/copa/cozin</v>
      </c>
      <c r="B232" s="10">
        <v>77319.66</v>
      </c>
      <c r="C232" s="10">
        <v>15594.46</v>
      </c>
      <c r="D232" s="10">
        <v>92914.12</v>
      </c>
    </row>
    <row r="233" spans="1:4" x14ac:dyDescent="0.25">
      <c r="A233" s="2" t="str">
        <f>"3.1.3.00.10- Impressos e material de escritorio"</f>
        <v>3.1.3.00.10- Impressos e material de escritorio</v>
      </c>
      <c r="B233" s="10">
        <v>91541.81</v>
      </c>
      <c r="C233" s="10">
        <v>15785.06</v>
      </c>
      <c r="D233" s="10">
        <v>107326.87</v>
      </c>
    </row>
    <row r="234" spans="1:4" x14ac:dyDescent="0.25">
      <c r="A234" s="2" t="str">
        <f>"3.1.3.00.11- Materiais manut. inst. prediais"</f>
        <v>3.1.3.00.11- Materiais manut. inst. prediais</v>
      </c>
      <c r="B234" s="10">
        <v>51866.18</v>
      </c>
      <c r="C234" s="10">
        <v>11195.83</v>
      </c>
      <c r="D234" s="10">
        <v>63062.01</v>
      </c>
    </row>
    <row r="235" spans="1:4" x14ac:dyDescent="0.25">
      <c r="A235" s="2" t="str">
        <f>"3.1.3.00.12- Carnes estacionamento rotativo"</f>
        <v>3.1.3.00.12- Carnes estacionamento rotativo</v>
      </c>
      <c r="B235" s="10">
        <v>167052.6</v>
      </c>
      <c r="C235" s="10">
        <v>26898.3</v>
      </c>
      <c r="D235" s="10">
        <v>193950.9</v>
      </c>
    </row>
    <row r="236" spans="1:4" x14ac:dyDescent="0.25">
      <c r="A236" s="2" t="str">
        <f>"3.1.3.00.15- Materiais e supriment informatic"</f>
        <v>3.1.3.00.15- Materiais e supriment informatic</v>
      </c>
      <c r="B236" s="10">
        <v>20160.48</v>
      </c>
      <c r="C236" s="10">
        <v>540.23</v>
      </c>
      <c r="D236" s="10">
        <v>20700.71</v>
      </c>
    </row>
    <row r="237" spans="1:4" x14ac:dyDescent="0.25">
      <c r="A237" s="2" t="str">
        <f>"3.1.3.00.17- Comb./lubrificantes"</f>
        <v>3.1.3.00.17- Comb./lubrificantes</v>
      </c>
      <c r="B237" s="10">
        <v>191.11</v>
      </c>
      <c r="C237" s="10">
        <v>0</v>
      </c>
      <c r="D237" s="10">
        <v>191.11</v>
      </c>
    </row>
    <row r="238" spans="1:4" x14ac:dyDescent="0.25">
      <c r="A238" s="2" t="str">
        <f>"3.1.3.00.18- Livros/jornais/rev./publicacoes"</f>
        <v>3.1.3.00.18- Livros/jornais/rev./publicacoes</v>
      </c>
      <c r="B238" s="10">
        <v>0</v>
      </c>
      <c r="C238" s="10">
        <v>1360.8</v>
      </c>
      <c r="D238" s="10">
        <v>1360.8</v>
      </c>
    </row>
    <row r="239" spans="1:4" x14ac:dyDescent="0.25">
      <c r="A239" s="2" t="str">
        <f>"3.1.3.00.19- Mat.man.cons.veiculos"</f>
        <v>3.1.3.00.19- Mat.man.cons.veiculos</v>
      </c>
      <c r="B239" s="10">
        <v>364</v>
      </c>
      <c r="C239" s="10">
        <v>0</v>
      </c>
      <c r="D239" s="10">
        <v>364</v>
      </c>
    </row>
    <row r="240" spans="1:4" x14ac:dyDescent="0.25">
      <c r="A240" s="2" t="str">
        <f>"3.1.3.00.99- Outros materiais"</f>
        <v>3.1.3.00.99- Outros materiais</v>
      </c>
      <c r="B240" s="10">
        <v>4907.1000000000004</v>
      </c>
      <c r="C240" s="10">
        <v>0</v>
      </c>
      <c r="D240" s="10">
        <v>4907.1000000000004</v>
      </c>
    </row>
    <row r="241" spans="1:4" x14ac:dyDescent="0.25">
      <c r="A241" s="2" t="str">
        <f>"3.1.4.00.00- SERVICOS PRESTADOS POR TERCEIROS"</f>
        <v>3.1.4.00.00- SERVICOS PRESTADOS POR TERCEIROS</v>
      </c>
      <c r="B241" s="10">
        <v>10039401.359999999</v>
      </c>
      <c r="C241" s="10">
        <v>2533233.46</v>
      </c>
      <c r="D241" s="10">
        <v>12572634.82</v>
      </c>
    </row>
    <row r="242" spans="1:4" x14ac:dyDescent="0.25">
      <c r="A242" s="2" t="str">
        <f>"3.1.4.00.01- Consultoria"</f>
        <v>3.1.4.00.01- Consultoria</v>
      </c>
      <c r="B242" s="10">
        <v>26600</v>
      </c>
      <c r="C242" s="10">
        <v>0</v>
      </c>
      <c r="D242" s="10">
        <v>26600</v>
      </c>
    </row>
    <row r="243" spans="1:4" x14ac:dyDescent="0.25">
      <c r="A243" s="2" t="str">
        <f>"3.1.4.00.03- Locacao de equipamentos"</f>
        <v>3.1.4.00.03- Locacao de equipamentos</v>
      </c>
      <c r="B243" s="10">
        <v>46939.9</v>
      </c>
      <c r="C243" s="10">
        <v>0</v>
      </c>
      <c r="D243" s="10">
        <v>46939.9</v>
      </c>
    </row>
    <row r="244" spans="1:4" x14ac:dyDescent="0.25">
      <c r="A244" s="2" t="str">
        <f>"3.1.4.00.08- Servicos de auditoria"</f>
        <v>3.1.4.00.08- Servicos de auditoria</v>
      </c>
      <c r="B244" s="10">
        <v>16333.28</v>
      </c>
      <c r="C244" s="10">
        <v>0</v>
      </c>
      <c r="D244" s="10">
        <v>16333.28</v>
      </c>
    </row>
    <row r="245" spans="1:4" x14ac:dyDescent="0.25">
      <c r="A245" s="2" t="str">
        <f>"3.1.4.00.10- Mao de obra contratada"</f>
        <v>3.1.4.00.10- Mao de obra contratada</v>
      </c>
      <c r="B245" s="10">
        <v>689608.07</v>
      </c>
      <c r="C245" s="10">
        <v>109020.02</v>
      </c>
      <c r="D245" s="10">
        <v>798628.09</v>
      </c>
    </row>
    <row r="246" spans="1:4" x14ac:dyDescent="0.25">
      <c r="A246" s="2" t="str">
        <f>"3.1.4.00.13- Publicidade e divulgacao"</f>
        <v>3.1.4.00.13- Publicidade e divulgacao</v>
      </c>
      <c r="B246" s="10">
        <v>89322.46</v>
      </c>
      <c r="C246" s="10">
        <v>15781.2</v>
      </c>
      <c r="D246" s="10">
        <v>105103.66</v>
      </c>
    </row>
    <row r="247" spans="1:4" x14ac:dyDescent="0.25">
      <c r="A247" s="2" t="str">
        <f>"3.1.4.00.14- Informatica-serv. e/ou locacao"</f>
        <v>3.1.4.00.14- Informatica-serv. e/ou locacao</v>
      </c>
      <c r="B247" s="10">
        <v>663549.25</v>
      </c>
      <c r="C247" s="10">
        <v>37869.269999999997</v>
      </c>
      <c r="D247" s="10">
        <v>701418.52</v>
      </c>
    </row>
    <row r="248" spans="1:4" x14ac:dyDescent="0.25">
      <c r="A248" s="2" t="str">
        <f>"3.1.4.00.15- Outros serv. prestados - PF"</f>
        <v>3.1.4.00.15- Outros serv. prestados - PF</v>
      </c>
      <c r="B248" s="10">
        <v>78184.25</v>
      </c>
      <c r="C248" s="10">
        <v>9090.16</v>
      </c>
      <c r="D248" s="10">
        <v>87274.41</v>
      </c>
    </row>
    <row r="249" spans="1:4" x14ac:dyDescent="0.25">
      <c r="A249" s="2" t="str">
        <f>"3.1.4.00.16- Outros serv. Prestados - PJ"</f>
        <v>3.1.4.00.16- Outros serv. Prestados - PJ</v>
      </c>
      <c r="B249" s="10">
        <v>144669.06</v>
      </c>
      <c r="C249" s="10">
        <v>19411.47</v>
      </c>
      <c r="D249" s="10">
        <v>164080.53</v>
      </c>
    </row>
    <row r="250" spans="1:4" x14ac:dyDescent="0.25">
      <c r="A250" s="2" t="str">
        <f>"3.1.4.00.17- Servicos postais"</f>
        <v>3.1.4.00.17- Servicos postais</v>
      </c>
      <c r="B250" s="10">
        <v>28562.32</v>
      </c>
      <c r="C250" s="10">
        <v>3482.66</v>
      </c>
      <c r="D250" s="10">
        <v>32044.98</v>
      </c>
    </row>
    <row r="251" spans="1:4" x14ac:dyDescent="0.25">
      <c r="A251" s="2" t="str">
        <f>"3.1.4.00.18- INSS s/servicos de terceiros"</f>
        <v>3.1.4.00.18- INSS s/servicos de terceiros</v>
      </c>
      <c r="B251" s="10">
        <v>14445.72</v>
      </c>
      <c r="C251" s="10">
        <v>3405.11</v>
      </c>
      <c r="D251" s="10">
        <v>17850.830000000002</v>
      </c>
    </row>
    <row r="252" spans="1:4" x14ac:dyDescent="0.25">
      <c r="A252" s="2" t="str">
        <f>"3.1.4.00.19- Manut. imoveis/instal/equip.oper"</f>
        <v>3.1.4.00.19- Manut. imoveis/instal/equip.oper</v>
      </c>
      <c r="B252" s="10">
        <v>249083.44</v>
      </c>
      <c r="C252" s="10">
        <v>79171.03</v>
      </c>
      <c r="D252" s="10">
        <v>328254.46999999997</v>
      </c>
    </row>
    <row r="253" spans="1:4" x14ac:dyDescent="0.25">
      <c r="A253" s="2" t="str">
        <f>"3.1.4.00.21- Manut. moveis e equip. Escritorio"</f>
        <v>3.1.4.00.21- Manut. moveis e equip. Escritorio</v>
      </c>
      <c r="B253" s="10">
        <v>19420.490000000002</v>
      </c>
      <c r="C253" s="10">
        <v>21246.59</v>
      </c>
      <c r="D253" s="10">
        <v>40667.08</v>
      </c>
    </row>
    <row r="254" spans="1:4" x14ac:dyDescent="0.25">
      <c r="A254" s="2" t="str">
        <f>"3.1.4.00.24- Loc.serv.mensageiro"</f>
        <v>3.1.4.00.24- Loc.serv.mensageiro</v>
      </c>
      <c r="B254" s="10">
        <v>34838.81</v>
      </c>
      <c r="C254" s="10">
        <v>0</v>
      </c>
      <c r="D254" s="10">
        <v>34838.81</v>
      </c>
    </row>
    <row r="255" spans="1:4" x14ac:dyDescent="0.25">
      <c r="A255" s="2" t="str">
        <f>"3.1.4.00.26- Serv.limp.conserv."</f>
        <v>3.1.4.00.26- Serv.limp.conserv.</v>
      </c>
      <c r="B255" s="10">
        <v>8049269.3700000001</v>
      </c>
      <c r="C255" s="10">
        <v>2155892.52</v>
      </c>
      <c r="D255" s="10">
        <v>10205161.890000001</v>
      </c>
    </row>
    <row r="256" spans="1:4" x14ac:dyDescent="0.25">
      <c r="A256" s="2" t="str">
        <f>"3.1.4.00.32- Vale transporte"</f>
        <v>3.1.4.00.32- Vale transporte</v>
      </c>
      <c r="B256" s="10">
        <v>0</v>
      </c>
      <c r="C256" s="10">
        <v>929.63</v>
      </c>
      <c r="D256" s="10">
        <v>929.63</v>
      </c>
    </row>
    <row r="257" spans="1:4" x14ac:dyDescent="0.25">
      <c r="A257" s="2" t="str">
        <f>"3.1.4.00.33- Vale Ref./Al.terceir."</f>
        <v>3.1.4.00.33- Vale Ref./Al.terceir.</v>
      </c>
      <c r="B257" s="10">
        <v>0</v>
      </c>
      <c r="C257" s="10">
        <v>2454.6999999999998</v>
      </c>
      <c r="D257" s="10">
        <v>2454.6999999999998</v>
      </c>
    </row>
    <row r="258" spans="1:4" x14ac:dyDescent="0.25">
      <c r="A258" s="2" t="str">
        <f>"3.1.4.00.34- Comissao s/venda rotativo"</f>
        <v>3.1.4.00.34- Comissao s/venda rotativo</v>
      </c>
      <c r="B258" s="10">
        <v>347560.74</v>
      </c>
      <c r="C258" s="10">
        <v>81833.84</v>
      </c>
      <c r="D258" s="10">
        <v>429394.58</v>
      </c>
    </row>
    <row r="259" spans="1:4" x14ac:dyDescent="0.25">
      <c r="A259" s="2" t="str">
        <f>"3.1.4.00.36- (-) Desconto ISSQN conf Lei 9145 serv. P"</f>
        <v>3.1.4.00.36- (-) Desconto ISSQN conf Lei 9145 serv. P</v>
      </c>
      <c r="B259" s="10">
        <v>-458985.8</v>
      </c>
      <c r="C259" s="10">
        <v>-108882.32</v>
      </c>
      <c r="D259" s="10">
        <v>-567868.12</v>
      </c>
    </row>
    <row r="260" spans="1:4" x14ac:dyDescent="0.25">
      <c r="A260" s="2" t="str">
        <f>"3.1.4.00.39- Convênio Guarda Municipal"</f>
        <v>3.1.4.00.39- Convênio Guarda Municipal</v>
      </c>
      <c r="B260" s="10">
        <v>0</v>
      </c>
      <c r="C260" s="10">
        <v>102527.58</v>
      </c>
      <c r="D260" s="10">
        <v>102527.58</v>
      </c>
    </row>
    <row r="261" spans="1:4" x14ac:dyDescent="0.25">
      <c r="A261" s="2" t="str">
        <f>"3.1.5.00.00- TARIFAS PUBLICAS"</f>
        <v>3.1.5.00.00- TARIFAS PUBLICAS</v>
      </c>
      <c r="B261" s="10">
        <v>771642.13</v>
      </c>
      <c r="C261" s="10">
        <v>182045.28</v>
      </c>
      <c r="D261" s="10">
        <v>953687.41</v>
      </c>
    </row>
    <row r="262" spans="1:4" x14ac:dyDescent="0.25">
      <c r="A262" s="2" t="str">
        <f>"3.1.5.00.02- Energia eletrica"</f>
        <v>3.1.5.00.02- Energia eletrica</v>
      </c>
      <c r="B262" s="10">
        <v>584013.68999999994</v>
      </c>
      <c r="C262" s="10">
        <v>148035.87</v>
      </c>
      <c r="D262" s="10">
        <v>732049.56</v>
      </c>
    </row>
    <row r="263" spans="1:4" x14ac:dyDescent="0.25">
      <c r="A263" s="2" t="str">
        <f>"3.1.5.00.03- Telefone"</f>
        <v>3.1.5.00.03- Telefone</v>
      </c>
      <c r="B263" s="10">
        <v>187628.44</v>
      </c>
      <c r="C263" s="10">
        <v>34009.410000000003</v>
      </c>
      <c r="D263" s="10">
        <v>221637.85</v>
      </c>
    </row>
    <row r="264" spans="1:4" x14ac:dyDescent="0.25">
      <c r="A264" s="2" t="str">
        <f>"3.1.6.00.00- DESPESAS TRIBUTARIAS"</f>
        <v>3.1.6.00.00- DESPESAS TRIBUTARIAS</v>
      </c>
      <c r="B264" s="10">
        <v>1386849.94</v>
      </c>
      <c r="C264" s="10">
        <v>238359.25</v>
      </c>
      <c r="D264" s="10">
        <v>1625209.19</v>
      </c>
    </row>
    <row r="265" spans="1:4" x14ac:dyDescent="0.25">
      <c r="A265" s="2" t="str">
        <f>"3.1.6.00.01- Taxas legais"</f>
        <v>3.1.6.00.01- Taxas legais</v>
      </c>
      <c r="B265" s="10">
        <v>20620.490000000002</v>
      </c>
      <c r="C265" s="10">
        <v>214.82</v>
      </c>
      <c r="D265" s="10">
        <v>20835.310000000001</v>
      </c>
    </row>
    <row r="266" spans="1:4" x14ac:dyDescent="0.25">
      <c r="A266" s="2" t="str">
        <f>"3.1.6.00.03- IOF"</f>
        <v>3.1.6.00.03- IOF</v>
      </c>
      <c r="B266" s="10">
        <v>1100.01</v>
      </c>
      <c r="C266" s="10">
        <v>0</v>
      </c>
      <c r="D266" s="10">
        <v>1100.01</v>
      </c>
    </row>
    <row r="267" spans="1:4" x14ac:dyDescent="0.25">
      <c r="A267" s="2" t="str">
        <f>"3.1.6.00.06- PIS"</f>
        <v>3.1.6.00.06- PIS</v>
      </c>
      <c r="B267" s="10">
        <v>218209.56</v>
      </c>
      <c r="C267" s="10">
        <v>41425.49</v>
      </c>
      <c r="D267" s="10">
        <v>259635.05</v>
      </c>
    </row>
    <row r="268" spans="1:4" x14ac:dyDescent="0.25">
      <c r="A268" s="2" t="str">
        <f>"3.1.6.00.07- COFINS"</f>
        <v>3.1.6.00.07- COFINS</v>
      </c>
      <c r="B268" s="10">
        <v>1005086.52</v>
      </c>
      <c r="C268" s="10">
        <v>190808.32000000001</v>
      </c>
      <c r="D268" s="10">
        <v>1195894.8400000001</v>
      </c>
    </row>
    <row r="269" spans="1:4" x14ac:dyDescent="0.25">
      <c r="A269" s="2" t="str">
        <f>"3.1.6.00.08- Multas indedutiveis"</f>
        <v>3.1.6.00.08- Multas indedutiveis</v>
      </c>
      <c r="B269" s="10">
        <v>26966.37</v>
      </c>
      <c r="C269" s="10">
        <v>0.02</v>
      </c>
      <c r="D269" s="10">
        <v>26966.39</v>
      </c>
    </row>
    <row r="270" spans="1:4" x14ac:dyDescent="0.25">
      <c r="A270" s="2" t="str">
        <f>"3.1.6.00.10- ISS s/faturamento"</f>
        <v>3.1.6.00.10- ISS s/faturamento</v>
      </c>
      <c r="B270" s="10">
        <v>11679.04</v>
      </c>
      <c r="C270" s="10">
        <v>2173.88</v>
      </c>
      <c r="D270" s="10">
        <v>13852.92</v>
      </c>
    </row>
    <row r="271" spans="1:4" x14ac:dyDescent="0.25">
      <c r="A271" s="2" t="str">
        <f>"3.1.6.00.11- Custas/despesas judiciais"</f>
        <v>3.1.6.00.11- Custas/despesas judiciais</v>
      </c>
      <c r="B271" s="10">
        <v>60</v>
      </c>
      <c r="C271" s="10">
        <v>0</v>
      </c>
      <c r="D271" s="10">
        <v>60</v>
      </c>
    </row>
    <row r="272" spans="1:4" x14ac:dyDescent="0.25">
      <c r="A272" s="2" t="str">
        <f>"3.1.6.00.14- Contrib.entid.classe"</f>
        <v>3.1.6.00.14- Contrib.entid.classe</v>
      </c>
      <c r="B272" s="10">
        <v>80932.91</v>
      </c>
      <c r="C272" s="10">
        <v>298</v>
      </c>
      <c r="D272" s="10">
        <v>81230.91</v>
      </c>
    </row>
    <row r="273" spans="1:4" x14ac:dyDescent="0.25">
      <c r="A273" s="2" t="str">
        <f>"3.1.6.00.15- INSS Serv.terceiros"</f>
        <v>3.1.6.00.15- INSS Serv.terceiros</v>
      </c>
      <c r="B273" s="10">
        <v>11236.83</v>
      </c>
      <c r="C273" s="10">
        <v>0</v>
      </c>
      <c r="D273" s="10">
        <v>11236.83</v>
      </c>
    </row>
    <row r="274" spans="1:4" x14ac:dyDescent="0.25">
      <c r="A274" s="2" t="str">
        <f>"3.1.6.00.17- PIS s/ receitas financeiras"</f>
        <v>3.1.6.00.17- PIS s/ receitas financeiras</v>
      </c>
      <c r="B274" s="10">
        <v>1531.78</v>
      </c>
      <c r="C274" s="10">
        <v>480.68</v>
      </c>
      <c r="D274" s="10">
        <v>2012.46</v>
      </c>
    </row>
    <row r="275" spans="1:4" x14ac:dyDescent="0.25">
      <c r="A275" s="2" t="str">
        <f>"3.1.6.00.18- Cofins s/ receitas financeiras"</f>
        <v>3.1.6.00.18- Cofins s/ receitas financeiras</v>
      </c>
      <c r="B275" s="10">
        <v>9426.43</v>
      </c>
      <c r="C275" s="10">
        <v>2958.04</v>
      </c>
      <c r="D275" s="10">
        <v>12384.47</v>
      </c>
    </row>
    <row r="276" spans="1:4" x14ac:dyDescent="0.25">
      <c r="A276" s="2" t="str">
        <f>"3.1.7.00.00- DESPESAS FINANCEIRAS"</f>
        <v>3.1.7.00.00- DESPESAS FINANCEIRAS</v>
      </c>
      <c r="B276" s="10">
        <v>14228.68</v>
      </c>
      <c r="C276" s="10">
        <v>2033.98</v>
      </c>
      <c r="D276" s="10">
        <v>16262.66</v>
      </c>
    </row>
    <row r="277" spans="1:4" x14ac:dyDescent="0.25">
      <c r="A277" s="2" t="str">
        <f>"3.1.7.01.01- Juros passivos curto prazo"</f>
        <v>3.1.7.01.01- Juros passivos curto prazo</v>
      </c>
      <c r="B277" s="10">
        <v>61.07</v>
      </c>
      <c r="C277" s="10">
        <v>0</v>
      </c>
      <c r="D277" s="10">
        <v>61.07</v>
      </c>
    </row>
    <row r="278" spans="1:4" x14ac:dyDescent="0.25">
      <c r="A278" s="2" t="str">
        <f>"3.1.7.01.02- Despesas bancarias"</f>
        <v>3.1.7.01.02- Despesas bancarias</v>
      </c>
      <c r="B278" s="10">
        <v>14167.61</v>
      </c>
      <c r="C278" s="10">
        <v>2033.98</v>
      </c>
      <c r="D278" s="10">
        <v>16201.59</v>
      </c>
    </row>
    <row r="279" spans="1:4" x14ac:dyDescent="0.25">
      <c r="A279" s="2" t="str">
        <f>"3.1.8.00.00- OUTRAS DESPESAS"</f>
        <v>3.1.8.00.00- OUTRAS DESPESAS</v>
      </c>
      <c r="B279" s="10">
        <v>729315.61</v>
      </c>
      <c r="C279" s="10">
        <v>121633.78</v>
      </c>
      <c r="D279" s="10">
        <v>850949.39</v>
      </c>
    </row>
    <row r="280" spans="1:4" x14ac:dyDescent="0.25">
      <c r="A280" s="2" t="str">
        <f>"3.1.8.00.01- Despesas de viagem"</f>
        <v>3.1.8.00.01- Despesas de viagem</v>
      </c>
      <c r="B280" s="10">
        <v>37341.86</v>
      </c>
      <c r="C280" s="10">
        <v>5581.68</v>
      </c>
      <c r="D280" s="10">
        <v>42923.54</v>
      </c>
    </row>
    <row r="281" spans="1:4" x14ac:dyDescent="0.25">
      <c r="A281" s="2" t="str">
        <f>"3.1.8.00.05- Depreciacao/amort"</f>
        <v>3.1.8.00.05- Depreciacao/amort</v>
      </c>
      <c r="B281" s="10">
        <v>137831.48000000001</v>
      </c>
      <c r="C281" s="10">
        <v>21740.16</v>
      </c>
      <c r="D281" s="10">
        <v>159571.64000000001</v>
      </c>
    </row>
    <row r="282" spans="1:4" x14ac:dyDescent="0.25">
      <c r="A282" s="2" t="str">
        <f>"3.1.8.00.06- Seguros bens moveis e imoveis"</f>
        <v>3.1.8.00.06- Seguros bens moveis e imoveis</v>
      </c>
      <c r="B282" s="10">
        <v>4450.03</v>
      </c>
      <c r="C282" s="10">
        <v>709.62</v>
      </c>
      <c r="D282" s="10">
        <v>5159.6499999999996</v>
      </c>
    </row>
    <row r="283" spans="1:4" x14ac:dyDescent="0.25">
      <c r="A283" s="2" t="str">
        <f>"3.1.8.00.08- Alugueis e condominio"</f>
        <v>3.1.8.00.08- Alugueis e condominio</v>
      </c>
      <c r="B283" s="10">
        <v>30430.86</v>
      </c>
      <c r="C283" s="10">
        <v>5071.8100000000004</v>
      </c>
      <c r="D283" s="10">
        <v>35502.67</v>
      </c>
    </row>
    <row r="284" spans="1:4" x14ac:dyDescent="0.25">
      <c r="A284" s="2" t="str">
        <f>"3.1.8.00.12- Acoes judiciais terceiros"</f>
        <v>3.1.8.00.12- Acoes judiciais terceiros</v>
      </c>
      <c r="B284" s="10">
        <v>3000</v>
      </c>
      <c r="C284" s="10">
        <v>0</v>
      </c>
      <c r="D284" s="10">
        <v>3000</v>
      </c>
    </row>
    <row r="285" spans="1:4" x14ac:dyDescent="0.25">
      <c r="A285" s="2" t="str">
        <f>"3.1.8.00.16- Baixa de imobilizado"</f>
        <v>3.1.8.00.16- Baixa de imobilizado</v>
      </c>
      <c r="B285" s="10">
        <v>4022.49</v>
      </c>
      <c r="C285" s="10">
        <v>0</v>
      </c>
      <c r="D285" s="10">
        <v>4022.49</v>
      </c>
    </row>
    <row r="286" spans="1:4" x14ac:dyDescent="0.25">
      <c r="A286" s="2" t="str">
        <f>"3.1.8.00.17- Gastos com eventos e promocoes"</f>
        <v>3.1.8.00.17- Gastos com eventos e promocoes</v>
      </c>
      <c r="B286" s="10">
        <v>253412.75</v>
      </c>
      <c r="C286" s="10">
        <v>32047.55</v>
      </c>
      <c r="D286" s="10">
        <v>285460.3</v>
      </c>
    </row>
    <row r="287" spans="1:4" x14ac:dyDescent="0.25">
      <c r="A287" s="2" t="str">
        <f>"3.1.8.00.18- Provisao para perdas"</f>
        <v>3.1.8.00.18- Provisao para perdas</v>
      </c>
      <c r="B287" s="10">
        <v>210570.17</v>
      </c>
      <c r="C287" s="10">
        <v>53795.63</v>
      </c>
      <c r="D287" s="10">
        <v>264365.8</v>
      </c>
    </row>
    <row r="288" spans="1:4" x14ac:dyDescent="0.25">
      <c r="A288" s="2" t="str">
        <f>"3.1.8.00.23- Custas/Despesas Judiciais"</f>
        <v>3.1.8.00.23- Custas/Despesas Judiciais</v>
      </c>
      <c r="B288" s="10">
        <v>48013.46</v>
      </c>
      <c r="C288" s="10">
        <v>2732.34</v>
      </c>
      <c r="D288" s="10">
        <v>50745.8</v>
      </c>
    </row>
    <row r="289" spans="1:4" x14ac:dyDescent="0.25">
      <c r="A289" s="2" t="str">
        <f>"3.1.8.00.99- Despesas diversas"</f>
        <v>3.1.8.00.99- Despesas diversas</v>
      </c>
      <c r="B289" s="10">
        <v>242.51</v>
      </c>
      <c r="C289" s="10">
        <v>-45.01</v>
      </c>
      <c r="D289" s="10">
        <v>197.5</v>
      </c>
    </row>
    <row r="290" spans="1:4" x14ac:dyDescent="0.25">
      <c r="A290" s="2" t="str">
        <f>""</f>
        <v/>
      </c>
      <c r="B290" s="3" t="str">
        <f>""</f>
        <v/>
      </c>
      <c r="C290" s="3" t="str">
        <f>""</f>
        <v/>
      </c>
      <c r="D290" s="3" t="str">
        <f>""</f>
        <v/>
      </c>
    </row>
    <row r="291" spans="1:4" x14ac:dyDescent="0.25">
      <c r="A291" s="2" t="str">
        <f>""</f>
        <v/>
      </c>
      <c r="B291" s="3" t="str">
        <f>""</f>
        <v/>
      </c>
      <c r="C291" s="3" t="str">
        <f>""</f>
        <v/>
      </c>
      <c r="D291" s="3" t="str">
        <f>""</f>
        <v/>
      </c>
    </row>
    <row r="292" spans="1:4" x14ac:dyDescent="0.25">
      <c r="A292" s="2" t="str">
        <f>""</f>
        <v/>
      </c>
      <c r="B292" s="3" t="str">
        <f>""</f>
        <v/>
      </c>
      <c r="C292" s="3" t="str">
        <f>""</f>
        <v/>
      </c>
      <c r="D292" s="3" t="str">
        <f>""</f>
        <v/>
      </c>
    </row>
    <row r="293" spans="1:4" x14ac:dyDescent="0.25">
      <c r="A293" s="2" t="str">
        <f>""</f>
        <v/>
      </c>
      <c r="B293" s="3" t="str">
        <f>""</f>
        <v/>
      </c>
      <c r="C293" s="3" t="str">
        <f>""</f>
        <v/>
      </c>
      <c r="D293" s="3" t="str">
        <f>""</f>
        <v/>
      </c>
    </row>
    <row r="294" spans="1:4" x14ac:dyDescent="0.25">
      <c r="A294" s="2" t="str">
        <f>""</f>
        <v/>
      </c>
      <c r="B294" s="3" t="str">
        <f>""</f>
        <v/>
      </c>
      <c r="C294" s="3" t="str">
        <f>""</f>
        <v/>
      </c>
      <c r="D294" s="3" t="str">
        <f>""</f>
        <v/>
      </c>
    </row>
    <row r="295" spans="1:4" x14ac:dyDescent="0.25">
      <c r="A295" s="2" t="str">
        <f>""</f>
        <v/>
      </c>
      <c r="B295" s="3" t="str">
        <f>""</f>
        <v/>
      </c>
      <c r="C295" s="3" t="str">
        <f>""</f>
        <v/>
      </c>
      <c r="D295" s="3" t="str">
        <f>""</f>
        <v/>
      </c>
    </row>
    <row r="296" spans="1:4" x14ac:dyDescent="0.25">
      <c r="A296" s="2" t="str">
        <f>""</f>
        <v/>
      </c>
      <c r="B296" s="3" t="str">
        <f>""</f>
        <v/>
      </c>
      <c r="C296" s="3" t="str">
        <f>""</f>
        <v/>
      </c>
      <c r="D296" s="3" t="str">
        <f>""</f>
        <v/>
      </c>
    </row>
    <row r="297" spans="1:4" x14ac:dyDescent="0.25">
      <c r="A297" s="2" t="str">
        <f>""</f>
        <v/>
      </c>
      <c r="B297" s="3" t="str">
        <f>""</f>
        <v/>
      </c>
      <c r="C297" s="3" t="str">
        <f>""</f>
        <v/>
      </c>
      <c r="D297" s="3" t="str">
        <f>""</f>
        <v/>
      </c>
    </row>
    <row r="298" spans="1:4" x14ac:dyDescent="0.25">
      <c r="A298" s="2" t="str">
        <f>""</f>
        <v/>
      </c>
      <c r="B298" s="3" t="str">
        <f>""</f>
        <v/>
      </c>
      <c r="C298" s="3" t="str">
        <f>""</f>
        <v/>
      </c>
      <c r="D298" s="3" t="str">
        <f>""</f>
        <v/>
      </c>
    </row>
    <row r="299" spans="1:4" x14ac:dyDescent="0.25">
      <c r="A299" s="2" t="str">
        <f>""</f>
        <v/>
      </c>
      <c r="B299" s="3" t="str">
        <f>""</f>
        <v/>
      </c>
      <c r="C299" s="3" t="str">
        <f>""</f>
        <v/>
      </c>
      <c r="D299" s="3" t="str">
        <f>""</f>
        <v/>
      </c>
    </row>
    <row r="300" spans="1:4" x14ac:dyDescent="0.25">
      <c r="A300" s="2" t="str">
        <f>"RECEITAS"</f>
        <v>RECEITAS</v>
      </c>
      <c r="B300" s="3" t="str">
        <f>""</f>
        <v/>
      </c>
      <c r="C300" s="3" t="str">
        <f>""</f>
        <v/>
      </c>
      <c r="D300" s="3" t="str">
        <f>""</f>
        <v/>
      </c>
    </row>
    <row r="301" spans="1:4" x14ac:dyDescent="0.25">
      <c r="A301" s="2" t="str">
        <f>"4.0.0.00.00- RECEITAS"</f>
        <v>4.0.0.00.00- RECEITAS</v>
      </c>
      <c r="B301" s="10">
        <v>74291765.170000002</v>
      </c>
      <c r="C301" s="10">
        <v>13395539.35</v>
      </c>
      <c r="D301" s="10">
        <v>87687304.519999996</v>
      </c>
    </row>
    <row r="302" spans="1:4" x14ac:dyDescent="0.25">
      <c r="A302" s="2" t="str">
        <f>"4.1.0.00.00- RECEITAS BHTRANS"</f>
        <v>4.1.0.00.00- RECEITAS BHTRANS</v>
      </c>
      <c r="B302" s="10">
        <v>73120677.040000007</v>
      </c>
      <c r="C302" s="10">
        <v>13214156.220000001</v>
      </c>
      <c r="D302" s="10">
        <v>86334833.260000005</v>
      </c>
    </row>
    <row r="303" spans="1:4" x14ac:dyDescent="0.25">
      <c r="A303" s="2" t="str">
        <f>"4.1.1.00.00- RECEITAS OPERACIONAIS"</f>
        <v>4.1.1.00.00- RECEITAS OPERACIONAIS</v>
      </c>
      <c r="B303" s="10">
        <v>72761666.810000002</v>
      </c>
      <c r="C303" s="10">
        <v>13174488.98</v>
      </c>
      <c r="D303" s="10">
        <v>85936155.790000007</v>
      </c>
    </row>
    <row r="304" spans="1:4" x14ac:dyDescent="0.25">
      <c r="A304" s="2" t="str">
        <f>"4.1.1.00.05- Midia taxi, escolar e suplementar"</f>
        <v>4.1.1.00.05- Midia taxi, escolar e suplementar</v>
      </c>
      <c r="B304" s="10">
        <v>22982.01</v>
      </c>
      <c r="C304" s="10">
        <v>5295.92</v>
      </c>
      <c r="D304" s="10">
        <v>28277.93</v>
      </c>
    </row>
    <row r="305" spans="1:4" x14ac:dyDescent="0.25">
      <c r="A305" s="2" t="str">
        <f>"4.1.1.00.06- Midia em onibus"</f>
        <v>4.1.1.00.06- Midia em onibus</v>
      </c>
      <c r="B305" s="10">
        <v>312906.13</v>
      </c>
      <c r="C305" s="10">
        <v>59541.84</v>
      </c>
      <c r="D305" s="10">
        <v>372447.97</v>
      </c>
    </row>
    <row r="306" spans="1:4" x14ac:dyDescent="0.25">
      <c r="A306" s="2" t="str">
        <f>"4.1.1.00.07- Midias diversas"</f>
        <v>4.1.1.00.07- Midias diversas</v>
      </c>
      <c r="B306" s="10">
        <v>53379.69</v>
      </c>
      <c r="C306" s="10">
        <v>7625.67</v>
      </c>
      <c r="D306" s="10">
        <v>61005.36</v>
      </c>
    </row>
    <row r="307" spans="1:4" x14ac:dyDescent="0.25">
      <c r="A307" s="2" t="str">
        <f>"4.1.1.00.08- Estacionamento Rotativo"</f>
        <v>4.1.1.00.08- Estacionamento Rotativo</v>
      </c>
      <c r="B307" s="10">
        <v>8395778.5500000007</v>
      </c>
      <c r="C307" s="10">
        <v>1592920.7</v>
      </c>
      <c r="D307" s="10">
        <v>9988699.25</v>
      </c>
    </row>
    <row r="308" spans="1:4" x14ac:dyDescent="0.25">
      <c r="A308" s="2" t="str">
        <f>"4.1.1.00.10- Transf. financeira PBH"</f>
        <v>4.1.1.00.10- Transf. financeira PBH</v>
      </c>
      <c r="B308" s="10">
        <v>60831282.119999997</v>
      </c>
      <c r="C308" s="10">
        <v>10810952.550000001</v>
      </c>
      <c r="D308" s="10">
        <v>71642234.670000002</v>
      </c>
    </row>
    <row r="309" spans="1:4" x14ac:dyDescent="0.25">
      <c r="A309" s="2" t="str">
        <f>"4.1.1.00.16- Multas transporte coletivo"</f>
        <v>4.1.1.00.16- Multas transporte coletivo</v>
      </c>
      <c r="B309" s="10">
        <v>2105701.63</v>
      </c>
      <c r="C309" s="10">
        <v>537956.31999999995</v>
      </c>
      <c r="D309" s="10">
        <v>2643657.9500000002</v>
      </c>
    </row>
    <row r="310" spans="1:4" x14ac:dyDescent="0.25">
      <c r="A310" s="2" t="str">
        <f>"4.1.1.00.17- Multas transporte publico"</f>
        <v>4.1.1.00.17- Multas transporte publico</v>
      </c>
      <c r="B310" s="10">
        <v>798676.98</v>
      </c>
      <c r="C310" s="10">
        <v>114319.65</v>
      </c>
      <c r="D310" s="10">
        <v>912996.63</v>
      </c>
    </row>
    <row r="311" spans="1:4" x14ac:dyDescent="0.25">
      <c r="A311" s="2" t="str">
        <f>"4.1.1.00.19- Subconcessao frotas de taxi"</f>
        <v>4.1.1.00.19- Subconcessao frotas de taxi</v>
      </c>
      <c r="B311" s="10">
        <v>240959.7</v>
      </c>
      <c r="C311" s="10">
        <v>45876.33</v>
      </c>
      <c r="D311" s="10">
        <v>286836.03000000003</v>
      </c>
    </row>
    <row r="312" spans="1:4" x14ac:dyDescent="0.25">
      <c r="A312" s="2" t="str">
        <f>"4.1.2.00.00- RECEITAS ESTACAO DIAMANTE"</f>
        <v>4.1.2.00.00- RECEITAS ESTACAO DIAMANTE</v>
      </c>
      <c r="B312" s="10">
        <v>262703.19</v>
      </c>
      <c r="C312" s="10">
        <v>11105.52</v>
      </c>
      <c r="D312" s="10">
        <v>273808.71000000002</v>
      </c>
    </row>
    <row r="313" spans="1:4" x14ac:dyDescent="0.25">
      <c r="A313" s="2" t="str">
        <f>"4.1.2.00.01- Alugueis"</f>
        <v>4.1.2.00.01- Alugueis</v>
      </c>
      <c r="B313" s="10">
        <v>262703.19</v>
      </c>
      <c r="C313" s="10">
        <v>11105.52</v>
      </c>
      <c r="D313" s="10">
        <v>273808.71000000002</v>
      </c>
    </row>
    <row r="314" spans="1:4" x14ac:dyDescent="0.25">
      <c r="A314" s="2" t="str">
        <f>"4.1.3.00.00- RECEITAS ESTACAO VENDA NOVA"</f>
        <v>4.1.3.00.00- RECEITAS ESTACAO VENDA NOVA</v>
      </c>
      <c r="B314" s="10">
        <v>78455.34</v>
      </c>
      <c r="C314" s="10">
        <v>9696.2800000000007</v>
      </c>
      <c r="D314" s="10">
        <v>88151.62</v>
      </c>
    </row>
    <row r="315" spans="1:4" x14ac:dyDescent="0.25">
      <c r="A315" s="2" t="str">
        <f>"4.1.3.00.01- Alugueis"</f>
        <v>4.1.3.00.01- Alugueis</v>
      </c>
      <c r="B315" s="10">
        <v>78455.34</v>
      </c>
      <c r="C315" s="10">
        <v>9696.2800000000007</v>
      </c>
      <c r="D315" s="10">
        <v>88151.62</v>
      </c>
    </row>
    <row r="316" spans="1:4" x14ac:dyDescent="0.25">
      <c r="A316" s="2" t="str">
        <f>"4.1.6.00.00- RECEITAS ESTACAO PAMPULHA"</f>
        <v>4.1.6.00.00- RECEITAS ESTACAO PAMPULHA</v>
      </c>
      <c r="B316" s="10">
        <v>17851.7</v>
      </c>
      <c r="C316" s="10">
        <v>18865.439999999999</v>
      </c>
      <c r="D316" s="10">
        <v>36717.14</v>
      </c>
    </row>
    <row r="317" spans="1:4" x14ac:dyDescent="0.25">
      <c r="A317" s="2" t="str">
        <f>"4.1.6.00.01- Alugueis"</f>
        <v>4.1.6.00.01- Alugueis</v>
      </c>
      <c r="B317" s="10">
        <v>17851.7</v>
      </c>
      <c r="C317" s="10">
        <v>18865.439999999999</v>
      </c>
      <c r="D317" s="10">
        <v>36717.14</v>
      </c>
    </row>
    <row r="318" spans="1:4" x14ac:dyDescent="0.25">
      <c r="A318" s="2" t="str">
        <f>"4.2.0.00.00- RECEITAS FINANCEIRAS"</f>
        <v>4.2.0.00.00- RECEITAS FINANCEIRAS</v>
      </c>
      <c r="B318" s="10">
        <v>235660.38</v>
      </c>
      <c r="C318" s="10">
        <v>73951.06</v>
      </c>
      <c r="D318" s="10">
        <v>309611.44</v>
      </c>
    </row>
    <row r="319" spans="1:4" x14ac:dyDescent="0.25">
      <c r="A319" s="2" t="str">
        <f>"4.2.1.00.00- RECEITAS FINANCEIRAS"</f>
        <v>4.2.1.00.00- RECEITAS FINANCEIRAS</v>
      </c>
      <c r="B319" s="10">
        <v>235069.77</v>
      </c>
      <c r="C319" s="10">
        <v>73865.759999999995</v>
      </c>
      <c r="D319" s="10">
        <v>308935.53000000003</v>
      </c>
    </row>
    <row r="320" spans="1:4" x14ac:dyDescent="0.25">
      <c r="A320" s="2" t="str">
        <f>"4.2.1.00.01- Rendimentos aplic. Financeira"</f>
        <v>4.2.1.00.01- Rendimentos aplic. Financeira</v>
      </c>
      <c r="B320" s="10">
        <v>232965.07</v>
      </c>
      <c r="C320" s="10">
        <v>73865.759999999995</v>
      </c>
      <c r="D320" s="10">
        <v>306830.83</v>
      </c>
    </row>
    <row r="321" spans="1:4" x14ac:dyDescent="0.25">
      <c r="A321" s="2" t="str">
        <f>"4.2.1.00.02- Juros ativos"</f>
        <v>4.2.1.00.02- Juros ativos</v>
      </c>
      <c r="B321" s="10">
        <v>2104.6999999999998</v>
      </c>
      <c r="C321" s="10">
        <v>0</v>
      </c>
      <c r="D321" s="10">
        <v>2104.6999999999998</v>
      </c>
    </row>
    <row r="322" spans="1:4" x14ac:dyDescent="0.25">
      <c r="A322" s="2" t="str">
        <f>"4.2.2.00.00- VARIACOES MONETARIAS ATIVAS"</f>
        <v>4.2.2.00.00- VARIACOES MONETARIAS ATIVAS</v>
      </c>
      <c r="B322" s="10">
        <v>590.61</v>
      </c>
      <c r="C322" s="10">
        <v>85.3</v>
      </c>
      <c r="D322" s="10">
        <v>675.91</v>
      </c>
    </row>
    <row r="323" spans="1:4" x14ac:dyDescent="0.25">
      <c r="A323" s="2" t="str">
        <f>"4.2.2.00.01- Variações monetárias ativas"</f>
        <v>4.2.2.00.01- Variações monetárias ativas</v>
      </c>
      <c r="B323" s="10">
        <v>590.61</v>
      </c>
      <c r="C323" s="10">
        <v>85.3</v>
      </c>
      <c r="D323" s="10">
        <v>675.91</v>
      </c>
    </row>
    <row r="324" spans="1:4" x14ac:dyDescent="0.25">
      <c r="A324" s="2" t="str">
        <f>"4.3.0.00.00- OUTRAS RECEITAS"</f>
        <v>4.3.0.00.00- OUTRAS RECEITAS</v>
      </c>
      <c r="B324" s="10">
        <v>935427.75</v>
      </c>
      <c r="C324" s="10">
        <v>107432.07</v>
      </c>
      <c r="D324" s="10">
        <v>1042859.82</v>
      </c>
    </row>
    <row r="325" spans="1:4" x14ac:dyDescent="0.25">
      <c r="A325" s="2" t="str">
        <f>"4.3.1.00.00- OUTRAS RECEITAS"</f>
        <v>4.3.1.00.00- OUTRAS RECEITAS</v>
      </c>
      <c r="B325" s="10">
        <v>935427.75</v>
      </c>
      <c r="C325" s="10">
        <v>107432.07</v>
      </c>
      <c r="D325" s="10">
        <v>1042859.82</v>
      </c>
    </row>
    <row r="326" spans="1:4" x14ac:dyDescent="0.25">
      <c r="A326" s="2" t="str">
        <f>"4.3.1.00.04- Receitas Diversas"</f>
        <v>4.3.1.00.04- Receitas Diversas</v>
      </c>
      <c r="B326" s="10">
        <v>453319.4</v>
      </c>
      <c r="C326" s="10">
        <v>97592.07</v>
      </c>
      <c r="D326" s="10">
        <v>550911.47</v>
      </c>
    </row>
    <row r="327" spans="1:4" x14ac:dyDescent="0.25">
      <c r="A327" s="2" t="str">
        <f>"4.3.1.00.05- Ganhos ou perdas de Capital"</f>
        <v>4.3.1.00.05- Ganhos ou perdas de Capital</v>
      </c>
      <c r="B327" s="10">
        <v>0</v>
      </c>
      <c r="C327" s="10">
        <v>9840</v>
      </c>
      <c r="D327" s="10">
        <v>9840</v>
      </c>
    </row>
    <row r="328" spans="1:4" x14ac:dyDescent="0.25">
      <c r="A328" s="2" t="str">
        <f>"4.3.1.00.07- Concessão de Abrigo de ônibus"</f>
        <v>4.3.1.00.07- Concessão de Abrigo de ônibus</v>
      </c>
      <c r="B328" s="10">
        <v>482108.35</v>
      </c>
      <c r="C328" s="10">
        <v>0</v>
      </c>
      <c r="D328" s="10">
        <v>482108.35</v>
      </c>
    </row>
    <row r="329" spans="1:4" x14ac:dyDescent="0.25">
      <c r="A329" s="2" t="str">
        <f>""</f>
        <v/>
      </c>
      <c r="B329" s="3" t="str">
        <f>""</f>
        <v/>
      </c>
      <c r="C329" s="3" t="str">
        <f>""</f>
        <v/>
      </c>
      <c r="D329" s="3" t="str">
        <f>""</f>
        <v/>
      </c>
    </row>
    <row r="330" spans="1:4" x14ac:dyDescent="0.25">
      <c r="A330" s="2" t="str">
        <f>""</f>
        <v/>
      </c>
      <c r="B330" s="3" t="str">
        <f>""</f>
        <v/>
      </c>
      <c r="C330" s="3" t="str">
        <f>""</f>
        <v/>
      </c>
      <c r="D330" s="3" t="str">
        <f>""</f>
        <v/>
      </c>
    </row>
    <row r="331" spans="1:4" x14ac:dyDescent="0.25">
      <c r="A331" s="2" t="str">
        <f>""</f>
        <v/>
      </c>
      <c r="B331" s="3" t="str">
        <f>""</f>
        <v/>
      </c>
      <c r="C331" s="3" t="str">
        <f>""</f>
        <v/>
      </c>
      <c r="D331" s="3" t="str">
        <f>""</f>
        <v/>
      </c>
    </row>
    <row r="332" spans="1:4" x14ac:dyDescent="0.25">
      <c r="A332" s="2" t="str">
        <f>""</f>
        <v/>
      </c>
      <c r="B332" s="3" t="str">
        <f>""</f>
        <v/>
      </c>
      <c r="C332" s="3" t="str">
        <f>""</f>
        <v/>
      </c>
      <c r="D332" s="3" t="str">
        <f>""</f>
        <v/>
      </c>
    </row>
    <row r="333" spans="1:4" x14ac:dyDescent="0.25">
      <c r="A333" s="2" t="str">
        <f>""</f>
        <v/>
      </c>
      <c r="B333" s="3" t="str">
        <f>""</f>
        <v/>
      </c>
      <c r="C333" s="3" t="str">
        <f>""</f>
        <v/>
      </c>
      <c r="D333" s="3" t="str">
        <f>""</f>
        <v/>
      </c>
    </row>
    <row r="334" spans="1:4" x14ac:dyDescent="0.25">
      <c r="A334" s="2" t="str">
        <f>""</f>
        <v/>
      </c>
      <c r="B334" s="3" t="str">
        <f>""</f>
        <v/>
      </c>
      <c r="C334" s="3" t="str">
        <f>""</f>
        <v/>
      </c>
      <c r="D334" s="3" t="str">
        <f>""</f>
        <v/>
      </c>
    </row>
    <row r="335" spans="1:4" x14ac:dyDescent="0.25">
      <c r="A335" s="2" t="str">
        <f>""</f>
        <v/>
      </c>
      <c r="B335" s="3" t="str">
        <f>""</f>
        <v/>
      </c>
      <c r="C335" s="3" t="str">
        <f>""</f>
        <v/>
      </c>
      <c r="D335" s="3" t="str">
        <f>""</f>
        <v/>
      </c>
    </row>
    <row r="336" spans="1:4" x14ac:dyDescent="0.25">
      <c r="A336" s="2" t="str">
        <f>""</f>
        <v/>
      </c>
      <c r="B336" s="3" t="str">
        <f>""</f>
        <v/>
      </c>
      <c r="C336" s="3" t="str">
        <f>""</f>
        <v/>
      </c>
      <c r="D336" s="3" t="str">
        <f>""</f>
        <v/>
      </c>
    </row>
    <row r="337" spans="1:4" x14ac:dyDescent="0.25">
      <c r="A337" s="2" t="str">
        <f>""</f>
        <v/>
      </c>
      <c r="B337" s="3" t="str">
        <f>""</f>
        <v/>
      </c>
      <c r="C337" s="3" t="str">
        <f>""</f>
        <v/>
      </c>
      <c r="D337" s="3" t="str">
        <f>""</f>
        <v/>
      </c>
    </row>
    <row r="338" spans="1:4" x14ac:dyDescent="0.25">
      <c r="A338" s="2" t="str">
        <f>""</f>
        <v/>
      </c>
      <c r="B338" s="3" t="str">
        <f>""</f>
        <v/>
      </c>
      <c r="C338" s="3" t="str">
        <f>""</f>
        <v/>
      </c>
      <c r="D338" s="3" t="str">
        <f>""</f>
        <v/>
      </c>
    </row>
    <row r="339" spans="1:4" x14ac:dyDescent="0.25">
      <c r="A339" s="2" t="str">
        <f>""</f>
        <v/>
      </c>
      <c r="B339" s="3" t="str">
        <f>""</f>
        <v/>
      </c>
      <c r="C339" s="3" t="str">
        <f>""</f>
        <v/>
      </c>
      <c r="D339" s="3" t="str">
        <f>""</f>
        <v/>
      </c>
    </row>
    <row r="340" spans="1:4" x14ac:dyDescent="0.25">
      <c r="A340" s="2" t="str">
        <f>""</f>
        <v/>
      </c>
      <c r="B340" s="3" t="str">
        <f>""</f>
        <v/>
      </c>
      <c r="C340" s="3" t="str">
        <f>""</f>
        <v/>
      </c>
      <c r="D340" s="3" t="str">
        <f>""</f>
        <v/>
      </c>
    </row>
    <row r="341" spans="1:4" x14ac:dyDescent="0.25">
      <c r="A341" s="2" t="str">
        <f>""</f>
        <v/>
      </c>
      <c r="B341" s="3" t="str">
        <f>""</f>
        <v/>
      </c>
      <c r="C341" s="3" t="str">
        <f>""</f>
        <v/>
      </c>
      <c r="D341" s="3" t="str">
        <f>""</f>
        <v/>
      </c>
    </row>
    <row r="342" spans="1:4" x14ac:dyDescent="0.25">
      <c r="A342" s="2" t="str">
        <f>""</f>
        <v/>
      </c>
      <c r="B342" s="3" t="str">
        <f>""</f>
        <v/>
      </c>
      <c r="C342" s="3" t="str">
        <f>""</f>
        <v/>
      </c>
      <c r="D342" s="3" t="str">
        <f>""</f>
        <v/>
      </c>
    </row>
    <row r="343" spans="1:4" x14ac:dyDescent="0.25">
      <c r="A343" s="2" t="str">
        <f>""</f>
        <v/>
      </c>
      <c r="B343" s="3" t="str">
        <f>""</f>
        <v/>
      </c>
      <c r="C343" s="3" t="str">
        <f>""</f>
        <v/>
      </c>
      <c r="D343" s="3" t="str">
        <f>""</f>
        <v/>
      </c>
    </row>
    <row r="344" spans="1:4" x14ac:dyDescent="0.25">
      <c r="A344" s="2" t="str">
        <f>""</f>
        <v/>
      </c>
      <c r="B344" s="3" t="str">
        <f>""</f>
        <v/>
      </c>
      <c r="C344" s="3" t="str">
        <f>""</f>
        <v/>
      </c>
      <c r="D344" s="3" t="str">
        <f>""</f>
        <v/>
      </c>
    </row>
    <row r="345" spans="1:4" x14ac:dyDescent="0.25">
      <c r="A345" s="2" t="str">
        <f>""</f>
        <v/>
      </c>
      <c r="B345" s="3" t="str">
        <f>""</f>
        <v/>
      </c>
      <c r="C345" s="3" t="str">
        <f>""</f>
        <v/>
      </c>
      <c r="D345" s="3" t="str">
        <f>""</f>
        <v/>
      </c>
    </row>
    <row r="346" spans="1:4" x14ac:dyDescent="0.25">
      <c r="A346" s="2" t="str">
        <f>""</f>
        <v/>
      </c>
      <c r="B346" s="3" t="str">
        <f>""</f>
        <v/>
      </c>
      <c r="C346" s="3" t="str">
        <f>""</f>
        <v/>
      </c>
      <c r="D346" s="3" t="str">
        <f>""</f>
        <v/>
      </c>
    </row>
    <row r="347" spans="1:4" x14ac:dyDescent="0.25">
      <c r="A347" s="2" t="str">
        <f>""</f>
        <v/>
      </c>
      <c r="B347" s="3" t="str">
        <f>""</f>
        <v/>
      </c>
      <c r="C347" s="3" t="str">
        <f>""</f>
        <v/>
      </c>
      <c r="D347" s="3" t="str">
        <f>""</f>
        <v/>
      </c>
    </row>
    <row r="348" spans="1:4" x14ac:dyDescent="0.25">
      <c r="A348" s="2" t="str">
        <f>""</f>
        <v/>
      </c>
      <c r="B348" s="3" t="str">
        <f>""</f>
        <v/>
      </c>
      <c r="C348" s="3" t="str">
        <f>""</f>
        <v/>
      </c>
      <c r="D348" s="3" t="str">
        <f>""</f>
        <v/>
      </c>
    </row>
    <row r="349" spans="1:4" x14ac:dyDescent="0.25">
      <c r="A349" s="2" t="str">
        <f>""</f>
        <v/>
      </c>
      <c r="B349" s="3" t="str">
        <f>""</f>
        <v/>
      </c>
      <c r="C349" s="3" t="str">
        <f>""</f>
        <v/>
      </c>
      <c r="D349" s="3" t="str">
        <f>""</f>
        <v/>
      </c>
    </row>
    <row r="350" spans="1:4" x14ac:dyDescent="0.25">
      <c r="A350" s="2" t="str">
        <f>""</f>
        <v/>
      </c>
      <c r="B350" s="3" t="str">
        <f>""</f>
        <v/>
      </c>
      <c r="C350" s="3" t="str">
        <f>""</f>
        <v/>
      </c>
      <c r="D350" s="3" t="str">
        <f>""</f>
        <v/>
      </c>
    </row>
    <row r="351" spans="1:4" x14ac:dyDescent="0.25">
      <c r="A351" s="2" t="str">
        <f>""</f>
        <v/>
      </c>
      <c r="B351" s="3" t="str">
        <f>""</f>
        <v/>
      </c>
      <c r="C351" s="3" t="str">
        <f>""</f>
        <v/>
      </c>
      <c r="D351" s="3" t="str">
        <f>""</f>
        <v/>
      </c>
    </row>
    <row r="352" spans="1:4" x14ac:dyDescent="0.25">
      <c r="A352" s="2" t="str">
        <f>""</f>
        <v/>
      </c>
      <c r="B352" s="3" t="str">
        <f>""</f>
        <v/>
      </c>
      <c r="C352" s="3" t="str">
        <f>""</f>
        <v/>
      </c>
      <c r="D352" s="3" t="str">
        <f>""</f>
        <v/>
      </c>
    </row>
    <row r="353" spans="1:4" ht="15.75" thickBot="1" x14ac:dyDescent="0.3">
      <c r="A353" s="4" t="str">
        <f>"APURACAO DE RESULTADOS"</f>
        <v>APURACAO DE RESULTADOS</v>
      </c>
      <c r="B353" s="5" t="str">
        <f>""</f>
        <v/>
      </c>
      <c r="C353" s="5" t="str">
        <f>""</f>
        <v/>
      </c>
      <c r="D353" s="5" t="str">
        <f>""</f>
        <v/>
      </c>
    </row>
    <row r="354" spans="1:4" x14ac:dyDescent="0.25">
      <c r="A354" t="s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4"/>
  <sheetViews>
    <sheetView workbookViewId="0">
      <selection activeCell="E1" sqref="E1"/>
    </sheetView>
  </sheetViews>
  <sheetFormatPr defaultRowHeight="15" x14ac:dyDescent="0.25"/>
  <cols>
    <col min="1" max="1" width="71.5703125" bestFit="1" customWidth="1"/>
    <col min="2" max="2" width="14.5703125" bestFit="1" customWidth="1"/>
    <col min="3" max="3" width="14.28515625" bestFit="1" customWidth="1"/>
    <col min="4" max="4" width="14.5703125" bestFit="1" customWidth="1"/>
  </cols>
  <sheetData>
    <row r="1" spans="1:4" ht="19.5" thickBot="1" x14ac:dyDescent="0.35">
      <c r="A1" s="1" t="s">
        <v>8</v>
      </c>
      <c r="B1" s="1"/>
      <c r="C1" s="1"/>
      <c r="D1" s="1"/>
    </row>
    <row r="2" spans="1:4" ht="15.75" thickBot="1" x14ac:dyDescent="0.3">
      <c r="A2" s="8" t="s">
        <v>13</v>
      </c>
      <c r="B2" s="9" t="s">
        <v>14</v>
      </c>
      <c r="C2" s="9" t="s">
        <v>15</v>
      </c>
      <c r="D2" s="9" t="s">
        <v>16</v>
      </c>
    </row>
    <row r="3" spans="1:4" x14ac:dyDescent="0.25">
      <c r="A3" s="6" t="str">
        <f>"ATIVO"</f>
        <v>ATIVO</v>
      </c>
      <c r="B3" s="7" t="str">
        <f>""</f>
        <v/>
      </c>
      <c r="C3" s="7" t="str">
        <f>""</f>
        <v/>
      </c>
      <c r="D3" s="7" t="str">
        <f>""</f>
        <v/>
      </c>
    </row>
    <row r="4" spans="1:4" x14ac:dyDescent="0.25">
      <c r="A4" s="2" t="str">
        <f>"1.0.0.00.00- ATIVO"</f>
        <v>1.0.0.00.00- ATIVO</v>
      </c>
      <c r="B4" s="10">
        <v>40351245.079999998</v>
      </c>
      <c r="C4" s="10">
        <v>1523827.72</v>
      </c>
      <c r="D4" s="10">
        <v>41875072.799999997</v>
      </c>
    </row>
    <row r="5" spans="1:4" x14ac:dyDescent="0.25">
      <c r="A5" s="2" t="str">
        <f>"1.1.0.00.00- ATIVO CIRCULANTE"</f>
        <v>1.1.0.00.00- ATIVO CIRCULANTE</v>
      </c>
      <c r="B5" s="10">
        <v>29181567.920000002</v>
      </c>
      <c r="C5" s="10">
        <v>952433.87</v>
      </c>
      <c r="D5" s="10">
        <v>30134001.789999999</v>
      </c>
    </row>
    <row r="6" spans="1:4" x14ac:dyDescent="0.25">
      <c r="A6" s="2" t="str">
        <f>"1.1.1.00.00- DISPONIVEL"</f>
        <v>1.1.1.00.00- DISPONIVEL</v>
      </c>
      <c r="B6" s="10">
        <v>13453876.43</v>
      </c>
      <c r="C6" s="10">
        <v>857465.91</v>
      </c>
      <c r="D6" s="10">
        <v>14311342.34</v>
      </c>
    </row>
    <row r="7" spans="1:4" x14ac:dyDescent="0.25">
      <c r="A7" s="2" t="str">
        <f>"1.1.1.01.00- CAIXA GERAL"</f>
        <v>1.1.1.01.00- CAIXA GERAL</v>
      </c>
      <c r="B7" s="10">
        <v>480</v>
      </c>
      <c r="C7" s="10">
        <v>404.69</v>
      </c>
      <c r="D7" s="10">
        <v>884.69</v>
      </c>
    </row>
    <row r="8" spans="1:4" x14ac:dyDescent="0.25">
      <c r="A8" s="2" t="str">
        <f>"1.1.1.01.04- Caixa - Georf"</f>
        <v>1.1.1.01.04- Caixa - Georf</v>
      </c>
      <c r="B8" s="10">
        <v>320</v>
      </c>
      <c r="C8" s="10">
        <v>-75.31</v>
      </c>
      <c r="D8" s="10">
        <v>244.69</v>
      </c>
    </row>
    <row r="9" spans="1:4" x14ac:dyDescent="0.25">
      <c r="A9" s="2" t="str">
        <f>"1.1.1.01.08- Caixa - AJU"</f>
        <v>1.1.1.01.08- Caixa - AJU</v>
      </c>
      <c r="B9" s="10">
        <v>0</v>
      </c>
      <c r="C9" s="10">
        <v>480</v>
      </c>
      <c r="D9" s="10">
        <v>480</v>
      </c>
    </row>
    <row r="10" spans="1:4" x14ac:dyDescent="0.25">
      <c r="A10" s="2" t="str">
        <f>"1.1.1.01.09- Caixa - GEAMP"</f>
        <v>1.1.1.01.09- Caixa - GEAMP</v>
      </c>
      <c r="B10" s="10">
        <v>160</v>
      </c>
      <c r="C10" s="10">
        <v>0</v>
      </c>
      <c r="D10" s="10">
        <v>160</v>
      </c>
    </row>
    <row r="11" spans="1:4" x14ac:dyDescent="0.25">
      <c r="A11" s="2" t="str">
        <f>"1.1.1.02.00- BANCOS C/MOVIMENTO"</f>
        <v>1.1.1.02.00- BANCOS C/MOVIMENTO</v>
      </c>
      <c r="B11" s="10">
        <v>312543.78000000003</v>
      </c>
      <c r="C11" s="10">
        <v>248301.68</v>
      </c>
      <c r="D11" s="10">
        <v>560845.46</v>
      </c>
    </row>
    <row r="12" spans="1:4" x14ac:dyDescent="0.25">
      <c r="A12" s="2" t="str">
        <f>"1.1.1.02.12- Banco do Brasil S/A - 720.001-3"</f>
        <v>1.1.1.02.12- Banco do Brasil S/A - 720.001-3</v>
      </c>
      <c r="B12" s="10">
        <v>6360.11</v>
      </c>
      <c r="C12" s="10">
        <v>71640.28</v>
      </c>
      <c r="D12" s="10">
        <v>78000.39</v>
      </c>
    </row>
    <row r="13" spans="1:4" x14ac:dyDescent="0.25">
      <c r="A13" s="2" t="str">
        <f>"1.1.1.02.15- Banco do Brasil S/A - 7.218-4"</f>
        <v>1.1.1.02.15- Banco do Brasil S/A - 7.218-4</v>
      </c>
      <c r="B13" s="10">
        <v>3564</v>
      </c>
      <c r="C13" s="10">
        <v>-3564</v>
      </c>
      <c r="D13" s="10">
        <v>0</v>
      </c>
    </row>
    <row r="14" spans="1:4" x14ac:dyDescent="0.25">
      <c r="A14" s="2" t="str">
        <f>"1.1.1.02.19- Caixa Econ. Federal-C/C 1223-6"</f>
        <v>1.1.1.02.19- Caixa Econ. Federal-C/C 1223-6</v>
      </c>
      <c r="B14" s="10">
        <v>15212.42</v>
      </c>
      <c r="C14" s="10">
        <v>-15212.42</v>
      </c>
      <c r="D14" s="10">
        <v>0</v>
      </c>
    </row>
    <row r="15" spans="1:4" x14ac:dyDescent="0.25">
      <c r="A15" s="2" t="str">
        <f>"1.1.1.02.29- Caixa Econômica Federal - 3289-3 Arrecad"</f>
        <v>1.1.1.02.29- Caixa Econômica Federal - 3289-3 Arrecad</v>
      </c>
      <c r="B15" s="10">
        <v>21179.08</v>
      </c>
      <c r="C15" s="10">
        <v>-14559.85</v>
      </c>
      <c r="D15" s="10">
        <v>6619.23</v>
      </c>
    </row>
    <row r="16" spans="1:4" x14ac:dyDescent="0.25">
      <c r="A16" s="2" t="str">
        <f>"1.1.1.02.31- Caixa Economica Federal - 3293-1 ROT"</f>
        <v>1.1.1.02.31- Caixa Economica Federal - 3293-1 ROT</v>
      </c>
      <c r="B16" s="10">
        <v>20553.37</v>
      </c>
      <c r="C16" s="10">
        <v>-18697.64</v>
      </c>
      <c r="D16" s="10">
        <v>1855.73</v>
      </c>
    </row>
    <row r="17" spans="1:4" x14ac:dyDescent="0.25">
      <c r="A17" s="2" t="str">
        <f>"1.1.1.02.32- Caixa Econômica Federal - 3292-3 Leilão"</f>
        <v>1.1.1.02.32- Caixa Econômica Federal - 3292-3 Leilão</v>
      </c>
      <c r="B17" s="10">
        <v>80</v>
      </c>
      <c r="C17" s="10">
        <v>0</v>
      </c>
      <c r="D17" s="10">
        <v>80</v>
      </c>
    </row>
    <row r="18" spans="1:4" x14ac:dyDescent="0.25">
      <c r="A18" s="2" t="str">
        <f>"1.1.1.02.33- Caixa Econômica Federal - 3295-8Leilão13"</f>
        <v>1.1.1.02.33- Caixa Econômica Federal - 3295-8Leilão13</v>
      </c>
      <c r="B18" s="10">
        <v>80</v>
      </c>
      <c r="C18" s="10">
        <v>0</v>
      </c>
      <c r="D18" s="10">
        <v>80</v>
      </c>
    </row>
    <row r="19" spans="1:4" x14ac:dyDescent="0.25">
      <c r="A19" s="2" t="str">
        <f>"1.1.1.02.37- Caixa Econômica Federal - 3299-0Leilão16"</f>
        <v>1.1.1.02.37- Caixa Econômica Federal - 3299-0Leilão16</v>
      </c>
      <c r="B19" s="10">
        <v>80</v>
      </c>
      <c r="C19" s="10">
        <v>0</v>
      </c>
      <c r="D19" s="10">
        <v>80</v>
      </c>
    </row>
    <row r="20" spans="1:4" x14ac:dyDescent="0.25">
      <c r="A20" s="2" t="str">
        <f>"1.1.1.02.39- Caixa Econômica Federal - 3301-6 Mídia"</f>
        <v>1.1.1.02.39- Caixa Econômica Federal - 3301-6 Mídia</v>
      </c>
      <c r="B20" s="10">
        <v>18728.43</v>
      </c>
      <c r="C20" s="10">
        <v>3414.17</v>
      </c>
      <c r="D20" s="10">
        <v>22142.6</v>
      </c>
    </row>
    <row r="21" spans="1:4" x14ac:dyDescent="0.25">
      <c r="A21" s="2" t="str">
        <f>"1.1.1.02.40- Caixa Econômica Federal - 3302-4 Mídia"</f>
        <v>1.1.1.02.40- Caixa Econômica Federal - 3302-4 Mídia</v>
      </c>
      <c r="B21" s="10">
        <v>59541.84</v>
      </c>
      <c r="C21" s="10">
        <v>17364.5</v>
      </c>
      <c r="D21" s="10">
        <v>76906.34</v>
      </c>
    </row>
    <row r="22" spans="1:4" x14ac:dyDescent="0.25">
      <c r="A22" s="2" t="str">
        <f>"1.1.1.02.41- Caixa Econômica Federal - 3303-2Rotativo"</f>
        <v>1.1.1.02.41- Caixa Econômica Federal - 3303-2Rotativo</v>
      </c>
      <c r="B22" s="10">
        <v>165580.53</v>
      </c>
      <c r="C22" s="10">
        <v>207122.64</v>
      </c>
      <c r="D22" s="10">
        <v>372703.17</v>
      </c>
    </row>
    <row r="23" spans="1:4" x14ac:dyDescent="0.25">
      <c r="A23" s="2" t="str">
        <f>"1.1.1.02.46- Caixa Econômica Federal - 3309-1 Rot int"</f>
        <v>1.1.1.02.46- Caixa Econômica Federal - 3309-1 Rot int</v>
      </c>
      <c r="B23" s="10">
        <v>1584</v>
      </c>
      <c r="C23" s="10">
        <v>794</v>
      </c>
      <c r="D23" s="10">
        <v>2378</v>
      </c>
    </row>
    <row r="24" spans="1:4" x14ac:dyDescent="0.25">
      <c r="A24" s="2" t="str">
        <f>"1.1.1.03.00- APLICACOES FINANCEIRAS"</f>
        <v>1.1.1.03.00- APLICACOES FINANCEIRAS</v>
      </c>
      <c r="B24" s="10">
        <v>10125111.67</v>
      </c>
      <c r="C24" s="10">
        <v>759419.17</v>
      </c>
      <c r="D24" s="10">
        <v>10884530.84</v>
      </c>
    </row>
    <row r="25" spans="1:4" x14ac:dyDescent="0.25">
      <c r="A25" s="2" t="str">
        <f>"1.1.1.03.23- Caixa Econômica Federal - 3291-5"</f>
        <v>1.1.1.03.23- Caixa Econômica Federal - 3291-5</v>
      </c>
      <c r="B25" s="10">
        <v>9010648.5299999993</v>
      </c>
      <c r="C25" s="10">
        <v>751950.71</v>
      </c>
      <c r="D25" s="10">
        <v>9762599.2400000002</v>
      </c>
    </row>
    <row r="26" spans="1:4" x14ac:dyDescent="0.25">
      <c r="A26" s="2" t="str">
        <f>"1.1.1.03.25- Caixa Econômica Federal - 3292-3 Leilão"</f>
        <v>1.1.1.03.25- Caixa Econômica Federal - 3292-3 Leilão</v>
      </c>
      <c r="B26" s="10">
        <v>70497.399999999994</v>
      </c>
      <c r="C26" s="10">
        <v>540.66</v>
      </c>
      <c r="D26" s="10">
        <v>71038.06</v>
      </c>
    </row>
    <row r="27" spans="1:4" x14ac:dyDescent="0.25">
      <c r="A27" s="2" t="str">
        <f>"1.1.1.03.26- Caixa Econômica Federal - 3295-8Leilão13"</f>
        <v>1.1.1.03.26- Caixa Econômica Federal - 3295-8Leilão13</v>
      </c>
      <c r="B27" s="10">
        <v>195935.7</v>
      </c>
      <c r="C27" s="10">
        <v>1502.68</v>
      </c>
      <c r="D27" s="10">
        <v>197438.38</v>
      </c>
    </row>
    <row r="28" spans="1:4" x14ac:dyDescent="0.25">
      <c r="A28" s="2" t="str">
        <f>"1.1.1.03.29- Caixa Econômica Federal - 3298-2Leilão15"</f>
        <v>1.1.1.03.29- Caixa Econômica Federal - 3298-2Leilão15</v>
      </c>
      <c r="B28" s="10">
        <v>96887.06</v>
      </c>
      <c r="C28" s="10">
        <v>662.97</v>
      </c>
      <c r="D28" s="10">
        <v>97550.03</v>
      </c>
    </row>
    <row r="29" spans="1:4" x14ac:dyDescent="0.25">
      <c r="A29" s="2" t="str">
        <f>"1.1.1.03.30- Caixa Econômica Federal - 3299-0Leilão16"</f>
        <v>1.1.1.03.30- Caixa Econômica Federal - 3299-0Leilão16</v>
      </c>
      <c r="B29" s="10">
        <v>121440.01</v>
      </c>
      <c r="C29" s="10">
        <v>931.35</v>
      </c>
      <c r="D29" s="10">
        <v>122371.36</v>
      </c>
    </row>
    <row r="30" spans="1:4" x14ac:dyDescent="0.25">
      <c r="A30" s="2" t="str">
        <f>"1.1.1.03.31- Caixa Econômica Federal - 3300-8Leilão16"</f>
        <v>1.1.1.03.31- Caixa Econômica Federal - 3300-8Leilão16</v>
      </c>
      <c r="B30" s="10">
        <v>43774.96</v>
      </c>
      <c r="C30" s="10">
        <v>299.54000000000002</v>
      </c>
      <c r="D30" s="10">
        <v>44074.5</v>
      </c>
    </row>
    <row r="31" spans="1:4" x14ac:dyDescent="0.25">
      <c r="A31" s="2" t="str">
        <f>"1.1.1.03.32- Caixa Econômica - 3301-6 Mídia"</f>
        <v>1.1.1.03.32- Caixa Econômica - 3301-6 Mídia</v>
      </c>
      <c r="B31" s="10">
        <v>71604.929999999993</v>
      </c>
      <c r="C31" s="10">
        <v>535.65</v>
      </c>
      <c r="D31" s="10">
        <v>72140.58</v>
      </c>
    </row>
    <row r="32" spans="1:4" x14ac:dyDescent="0.25">
      <c r="A32" s="2" t="str">
        <f>"1.1.1.03.35- Caixa Econômica - 3304-0Caução"</f>
        <v>1.1.1.03.35- Caixa Econômica - 3304-0Caução</v>
      </c>
      <c r="B32" s="10">
        <v>412736.71</v>
      </c>
      <c r="C32" s="10">
        <v>2950.9</v>
      </c>
      <c r="D32" s="10">
        <v>415687.61</v>
      </c>
    </row>
    <row r="33" spans="1:4" x14ac:dyDescent="0.25">
      <c r="A33" s="2" t="str">
        <f>"1.1.1.03.36- Caixa Econômica - 3305-9Sucumb."</f>
        <v>1.1.1.03.36- Caixa Econômica - 3305-9Sucumb.</v>
      </c>
      <c r="B33" s="10">
        <v>4521.29</v>
      </c>
      <c r="C33" s="10">
        <v>30.55</v>
      </c>
      <c r="D33" s="10">
        <v>4551.84</v>
      </c>
    </row>
    <row r="34" spans="1:4" x14ac:dyDescent="0.25">
      <c r="A34" s="2" t="str">
        <f>"1.1.1.03.38- Caixa Econômica - 3308-3Leilão"</f>
        <v>1.1.1.03.38- Caixa Econômica - 3308-3Leilão</v>
      </c>
      <c r="B34" s="10">
        <v>2095.8200000000002</v>
      </c>
      <c r="C34" s="10">
        <v>14.16</v>
      </c>
      <c r="D34" s="10">
        <v>2109.98</v>
      </c>
    </row>
    <row r="35" spans="1:4" x14ac:dyDescent="0.25">
      <c r="A35" s="2" t="str">
        <f>"1.1.1.03.41- Caixa Econômica - 531-0 Aci moto poupanç"</f>
        <v>1.1.1.03.41- Caixa Econômica - 531-0 Aci moto poupanç</v>
      </c>
      <c r="B35" s="10">
        <v>4316.6499999999996</v>
      </c>
      <c r="C35" s="10">
        <v>0</v>
      </c>
      <c r="D35" s="10">
        <v>4316.6499999999996</v>
      </c>
    </row>
    <row r="36" spans="1:4" x14ac:dyDescent="0.25">
      <c r="A36" s="2" t="str">
        <f>"1.1.1.03.42- Caixa Econômica - 532-9 Acid Ped Poupanç"</f>
        <v>1.1.1.03.42- Caixa Econômica - 532-9 Acid Ped Poupanç</v>
      </c>
      <c r="B36" s="10">
        <v>3716.25</v>
      </c>
      <c r="C36" s="10">
        <v>0</v>
      </c>
      <c r="D36" s="10">
        <v>3716.25</v>
      </c>
    </row>
    <row r="37" spans="1:4" x14ac:dyDescent="0.25">
      <c r="A37" s="2" t="str">
        <f>"1.1.1.03.43- Caixa Econômica - 534-5 Codemig Poupança"</f>
        <v>1.1.1.03.43- Caixa Econômica - 534-5 Codemig Poupança</v>
      </c>
      <c r="B37" s="10">
        <v>25126.85</v>
      </c>
      <c r="C37" s="10">
        <v>0</v>
      </c>
      <c r="D37" s="10">
        <v>25126.85</v>
      </c>
    </row>
    <row r="38" spans="1:4" x14ac:dyDescent="0.25">
      <c r="A38" s="2" t="str">
        <f>"1.1.1.03.44- Caixa Econômica - 535-3 Turblog Poupança"</f>
        <v>1.1.1.03.44- Caixa Econômica - 535-3 Turblog Poupança</v>
      </c>
      <c r="B38" s="10">
        <v>61809.51</v>
      </c>
      <c r="C38" s="10">
        <v>0</v>
      </c>
      <c r="D38" s="10">
        <v>61809.51</v>
      </c>
    </row>
    <row r="39" spans="1:4" x14ac:dyDescent="0.25">
      <c r="A39" s="2" t="str">
        <f>"1.1.1.04.00- BANCOS C/VINCULADA-PAMEH"</f>
        <v>1.1.1.04.00- BANCOS C/VINCULADA-PAMEH</v>
      </c>
      <c r="B39" s="10">
        <v>3015740.98</v>
      </c>
      <c r="C39" s="10">
        <v>-150659.63</v>
      </c>
      <c r="D39" s="10">
        <v>2865081.35</v>
      </c>
    </row>
    <row r="40" spans="1:4" x14ac:dyDescent="0.25">
      <c r="A40" s="2" t="str">
        <f>"1.1.1.04.04- Mercantil do Brasil 02733249-2"</f>
        <v>1.1.1.04.04- Mercantil do Brasil 02733249-2</v>
      </c>
      <c r="B40" s="10">
        <v>7.81</v>
      </c>
      <c r="C40" s="10">
        <v>-7.81</v>
      </c>
      <c r="D40" s="10">
        <v>0</v>
      </c>
    </row>
    <row r="41" spans="1:4" x14ac:dyDescent="0.25">
      <c r="A41" s="2" t="str">
        <f>"1.1.1.04.08- Caixa Econômica Federal - 3294-0 Aplic."</f>
        <v>1.1.1.04.08- Caixa Econômica Federal - 3294-0 Aplic.</v>
      </c>
      <c r="B41" s="10">
        <v>3015733.17</v>
      </c>
      <c r="C41" s="10">
        <v>-150651.82</v>
      </c>
      <c r="D41" s="10">
        <v>2865081.35</v>
      </c>
    </row>
    <row r="42" spans="1:4" x14ac:dyDescent="0.25">
      <c r="A42" s="2" t="str">
        <f>"1.1.2.00.00- REALIZAVEL A CURTO PRAZO"</f>
        <v>1.1.2.00.00- REALIZAVEL A CURTO PRAZO</v>
      </c>
      <c r="B42" s="10">
        <v>15727691.49</v>
      </c>
      <c r="C42" s="10">
        <v>94967.96</v>
      </c>
      <c r="D42" s="10">
        <v>15822659.449999999</v>
      </c>
    </row>
    <row r="43" spans="1:4" x14ac:dyDescent="0.25">
      <c r="A43" s="2" t="str">
        <f>"1.1.2.01.00- CONTAS A RECEBER"</f>
        <v>1.1.2.01.00- CONTAS A RECEBER</v>
      </c>
      <c r="B43" s="10">
        <v>8616616.1199999992</v>
      </c>
      <c r="C43" s="10">
        <v>450028.67</v>
      </c>
      <c r="D43" s="10">
        <v>9066644.7899999991</v>
      </c>
    </row>
    <row r="44" spans="1:4" x14ac:dyDescent="0.25">
      <c r="A44" s="2" t="str">
        <f>"1.1.2.01.89- Multas Transporte Coletivo"</f>
        <v>1.1.2.01.89- Multas Transporte Coletivo</v>
      </c>
      <c r="B44" s="10">
        <v>10062471.49</v>
      </c>
      <c r="C44" s="10">
        <v>500031.85</v>
      </c>
      <c r="D44" s="10">
        <v>10562503.34</v>
      </c>
    </row>
    <row r="45" spans="1:4" x14ac:dyDescent="0.25">
      <c r="A45" s="2" t="str">
        <f>"1.1.2.01.94- Midia Onibus a Receber"</f>
        <v>1.1.2.01.94- Midia Onibus a Receber</v>
      </c>
      <c r="B45" s="10">
        <v>786491.64</v>
      </c>
      <c r="C45" s="10">
        <v>0</v>
      </c>
      <c r="D45" s="10">
        <v>786491.64</v>
      </c>
    </row>
    <row r="46" spans="1:4" x14ac:dyDescent="0.25">
      <c r="A46" s="2" t="str">
        <f>"1.1.2.01.99- (-) Provisao para Perdas"</f>
        <v>1.1.2.01.99- (-) Provisao para Perdas</v>
      </c>
      <c r="B46" s="10">
        <v>-2232347.0099999998</v>
      </c>
      <c r="C46" s="10">
        <v>-50003.18</v>
      </c>
      <c r="D46" s="10">
        <v>-2282350.19</v>
      </c>
    </row>
    <row r="47" spans="1:4" x14ac:dyDescent="0.25">
      <c r="A47" s="2" t="str">
        <f>"1.1.2.06.00- ADIANTAMENTO A EMPREGADOS"</f>
        <v>1.1.2.06.00- ADIANTAMENTO A EMPREGADOS</v>
      </c>
      <c r="B47" s="10">
        <v>3341273.64</v>
      </c>
      <c r="C47" s="10">
        <v>-139674.23000000001</v>
      </c>
      <c r="D47" s="10">
        <v>3201599.41</v>
      </c>
    </row>
    <row r="48" spans="1:4" x14ac:dyDescent="0.25">
      <c r="A48" s="2" t="str">
        <f>"1.1.2.06.01- Adiantamento de Ferias"</f>
        <v>1.1.2.06.01- Adiantamento de Ferias</v>
      </c>
      <c r="B48" s="10">
        <v>775908.92</v>
      </c>
      <c r="C48" s="10">
        <v>-149707.87</v>
      </c>
      <c r="D48" s="10">
        <v>626201.05000000005</v>
      </c>
    </row>
    <row r="49" spans="1:4" x14ac:dyDescent="0.25">
      <c r="A49" s="2" t="str">
        <f>"1.1.2.06.02- Adiantamento de 13. Salario"</f>
        <v>1.1.2.06.02- Adiantamento de 13. Salario</v>
      </c>
      <c r="B49" s="10">
        <v>2320559.65</v>
      </c>
      <c r="C49" s="10">
        <v>-898.79</v>
      </c>
      <c r="D49" s="10">
        <v>2319660.86</v>
      </c>
    </row>
    <row r="50" spans="1:4" x14ac:dyDescent="0.25">
      <c r="A50" s="2" t="str">
        <f>"1.1.2.06.03- Adiant. de Salario/Parc. Ferias"</f>
        <v>1.1.2.06.03- Adiant. de Salario/Parc. Ferias</v>
      </c>
      <c r="B50" s="10">
        <v>132946.28</v>
      </c>
      <c r="C50" s="10">
        <v>22013.49</v>
      </c>
      <c r="D50" s="10">
        <v>154959.76999999999</v>
      </c>
    </row>
    <row r="51" spans="1:4" x14ac:dyDescent="0.25">
      <c r="A51" s="2" t="str">
        <f>"1.1.2.06.06- Diferencas Salariais a Apropriar"</f>
        <v>1.1.2.06.06- Diferencas Salariais a Apropriar</v>
      </c>
      <c r="B51" s="10">
        <v>7335.29</v>
      </c>
      <c r="C51" s="10">
        <v>-7335.29</v>
      </c>
      <c r="D51" s="10">
        <v>0</v>
      </c>
    </row>
    <row r="52" spans="1:4" x14ac:dyDescent="0.25">
      <c r="A52" s="2" t="str">
        <f>"1.1.2.06.07- Adiantamento Pensao s/ Ferias"</f>
        <v>1.1.2.06.07- Adiantamento Pensao s/ Ferias</v>
      </c>
      <c r="B52" s="10">
        <v>104523.5</v>
      </c>
      <c r="C52" s="10">
        <v>-3745.77</v>
      </c>
      <c r="D52" s="10">
        <v>100777.73</v>
      </c>
    </row>
    <row r="53" spans="1:4" x14ac:dyDescent="0.25">
      <c r="A53" s="2" t="str">
        <f>"1.1.2.08.00- ALMOXARIFADO"</f>
        <v>1.1.2.08.00- ALMOXARIFADO</v>
      </c>
      <c r="B53" s="10">
        <v>346206.54</v>
      </c>
      <c r="C53" s="10">
        <v>-31721.62</v>
      </c>
      <c r="D53" s="10">
        <v>314484.92</v>
      </c>
    </row>
    <row r="54" spans="1:4" x14ac:dyDescent="0.25">
      <c r="A54" s="2" t="str">
        <f>"1.1.2.08.01- Material em Estoque"</f>
        <v>1.1.2.08.01- Material em Estoque</v>
      </c>
      <c r="B54" s="10">
        <v>346206.54</v>
      </c>
      <c r="C54" s="10">
        <v>-31721.62</v>
      </c>
      <c r="D54" s="10">
        <v>314484.92</v>
      </c>
    </row>
    <row r="55" spans="1:4" x14ac:dyDescent="0.25">
      <c r="A55" s="2" t="str">
        <f>"1.1.2.10.00- IMPOSTOS E CONTRIB.A RECUPERAR"</f>
        <v>1.1.2.10.00- IMPOSTOS E CONTRIB.A RECUPERAR</v>
      </c>
      <c r="B55" s="10">
        <v>1803727.92</v>
      </c>
      <c r="C55" s="10">
        <v>31023.35</v>
      </c>
      <c r="D55" s="10">
        <v>1834751.27</v>
      </c>
    </row>
    <row r="56" spans="1:4" x14ac:dyDescent="0.25">
      <c r="A56" s="2" t="str">
        <f>"1.1.2.10.01- IR s/Aplicacao Financeira"</f>
        <v>1.1.2.10.01- IR s/Aplicacao Financeira</v>
      </c>
      <c r="B56" s="10">
        <v>423441.54</v>
      </c>
      <c r="C56" s="10">
        <v>30938.05</v>
      </c>
      <c r="D56" s="10">
        <v>454379.59</v>
      </c>
    </row>
    <row r="57" spans="1:4" x14ac:dyDescent="0.25">
      <c r="A57" s="2" t="str">
        <f>"1.1.2.10.08- IRRF a Compensar"</f>
        <v>1.1.2.10.08- IRRF a Compensar</v>
      </c>
      <c r="B57" s="10">
        <v>1454.99</v>
      </c>
      <c r="C57" s="10">
        <v>0</v>
      </c>
      <c r="D57" s="10">
        <v>1454.99</v>
      </c>
    </row>
    <row r="58" spans="1:4" x14ac:dyDescent="0.25">
      <c r="A58" s="2" t="str">
        <f>"1.1.2.10.15- Cofins a Compensar"</f>
        <v>1.1.2.10.15- Cofins a Compensar</v>
      </c>
      <c r="B58" s="10">
        <v>1039251.05</v>
      </c>
      <c r="C58" s="10">
        <v>-0.02</v>
      </c>
      <c r="D58" s="10">
        <v>1039251.03</v>
      </c>
    </row>
    <row r="59" spans="1:4" x14ac:dyDescent="0.25">
      <c r="A59" s="2" t="str">
        <f>"1.1.2.10.16- PIS a Compensar"</f>
        <v>1.1.2.10.16- PIS a Compensar</v>
      </c>
      <c r="B59" s="10">
        <v>224393.93</v>
      </c>
      <c r="C59" s="10">
        <v>0.03</v>
      </c>
      <c r="D59" s="10">
        <v>224393.96</v>
      </c>
    </row>
    <row r="60" spans="1:4" x14ac:dyDescent="0.25">
      <c r="A60" s="2" t="str">
        <f>"1.1.2.10.20- V.M.A PIS a Recuperar"</f>
        <v>1.1.2.10.20- V.M.A PIS a Recuperar</v>
      </c>
      <c r="B60" s="10">
        <v>1192.57</v>
      </c>
      <c r="C60" s="10">
        <v>46.69</v>
      </c>
      <c r="D60" s="10">
        <v>1239.26</v>
      </c>
    </row>
    <row r="61" spans="1:4" x14ac:dyDescent="0.25">
      <c r="A61" s="2" t="str">
        <f>"1.1.2.10.21- V.M.A IRRF a Compensar"</f>
        <v>1.1.2.10.21- V.M.A IRRF a Compensar</v>
      </c>
      <c r="B61" s="10">
        <v>433.17</v>
      </c>
      <c r="C61" s="10">
        <v>11.65</v>
      </c>
      <c r="D61" s="10">
        <v>444.82</v>
      </c>
    </row>
    <row r="62" spans="1:4" x14ac:dyDescent="0.25">
      <c r="A62" s="2" t="str">
        <f>"1.1.2.10.22- V.M.A COFINS a Compensar"</f>
        <v>1.1.2.10.22- V.M.A COFINS a Compensar</v>
      </c>
      <c r="B62" s="10">
        <v>5296.9</v>
      </c>
      <c r="C62" s="10">
        <v>26.95</v>
      </c>
      <c r="D62" s="10">
        <v>5323.85</v>
      </c>
    </row>
    <row r="63" spans="1:4" x14ac:dyDescent="0.25">
      <c r="A63" s="2" t="str">
        <f>"1.1.2.10.25- INSS a recuperar segurados"</f>
        <v>1.1.2.10.25- INSS a recuperar segurados</v>
      </c>
      <c r="B63" s="10">
        <v>108263.77</v>
      </c>
      <c r="C63" s="10">
        <v>0</v>
      </c>
      <c r="D63" s="10">
        <v>108263.77</v>
      </c>
    </row>
    <row r="64" spans="1:4" x14ac:dyDescent="0.25">
      <c r="A64" s="2" t="str">
        <f>"1.1.2.11.00- DESPESAS ANTECIPADAS"</f>
        <v>1.1.2.11.00- DESPESAS ANTECIPADAS</v>
      </c>
      <c r="B64" s="10">
        <v>5565.72</v>
      </c>
      <c r="C64" s="10">
        <v>1119.4000000000001</v>
      </c>
      <c r="D64" s="10">
        <v>6685.12</v>
      </c>
    </row>
    <row r="65" spans="1:4" x14ac:dyDescent="0.25">
      <c r="A65" s="2" t="str">
        <f>"1.1.2.11.01- Premios de Seguros a Vencer"</f>
        <v>1.1.2.11.01- Premios de Seguros a Vencer</v>
      </c>
      <c r="B65" s="10">
        <v>5565.72</v>
      </c>
      <c r="C65" s="10">
        <v>1119.4000000000001</v>
      </c>
      <c r="D65" s="10">
        <v>6685.12</v>
      </c>
    </row>
    <row r="66" spans="1:4" x14ac:dyDescent="0.25">
      <c r="A66" s="2" t="str">
        <f>"1.1.2.12.00- VALORES VINC.A RECEBER-PAMEH"</f>
        <v>1.1.2.12.00- VALORES VINC.A RECEBER-PAMEH</v>
      </c>
      <c r="B66" s="10">
        <v>787237.5</v>
      </c>
      <c r="C66" s="10">
        <v>-54321.96</v>
      </c>
      <c r="D66" s="10">
        <v>732915.54</v>
      </c>
    </row>
    <row r="67" spans="1:4" x14ac:dyDescent="0.25">
      <c r="A67" s="2" t="str">
        <f>"1.1.2.12.01- Valores Vinculados-PAMEH"</f>
        <v>1.1.2.12.01- Valores Vinculados-PAMEH</v>
      </c>
      <c r="B67" s="10">
        <v>787237.5</v>
      </c>
      <c r="C67" s="10">
        <v>-54321.96</v>
      </c>
      <c r="D67" s="10">
        <v>732915.54</v>
      </c>
    </row>
    <row r="68" spans="1:4" x14ac:dyDescent="0.25">
      <c r="A68" s="2" t="str">
        <f>"1.1.2.14.00- CONTAS TRANSITORIAS - GRUPO ATIVO"</f>
        <v>1.1.2.14.00- CONTAS TRANSITORIAS - GRUPO ATIVO</v>
      </c>
      <c r="B68" s="10">
        <v>786008.75</v>
      </c>
      <c r="C68" s="10">
        <v>-126801</v>
      </c>
      <c r="D68" s="10">
        <v>659207.75</v>
      </c>
    </row>
    <row r="69" spans="1:4" x14ac:dyDescent="0.25">
      <c r="A69" s="2" t="str">
        <f>"1.1.2.14.05- Transitoria Folha de Pagamento"</f>
        <v>1.1.2.14.05- Transitoria Folha de Pagamento</v>
      </c>
      <c r="B69" s="10">
        <v>786008.75</v>
      </c>
      <c r="C69" s="10">
        <v>-126801</v>
      </c>
      <c r="D69" s="10">
        <v>659207.75</v>
      </c>
    </row>
    <row r="70" spans="1:4" x14ac:dyDescent="0.25">
      <c r="A70" s="2" t="str">
        <f>"1.1.2.15.00- CARNE ESTACIONAMENTO ROTATIVO"</f>
        <v>1.1.2.15.00- CARNE ESTACIONAMENTO ROTATIVO</v>
      </c>
      <c r="B70" s="10">
        <v>41055.300000000003</v>
      </c>
      <c r="C70" s="10">
        <v>-34684.65</v>
      </c>
      <c r="D70" s="10">
        <v>6370.65</v>
      </c>
    </row>
    <row r="71" spans="1:4" x14ac:dyDescent="0.25">
      <c r="A71" s="2" t="str">
        <f>"1.1.2.15.01- Carne Rotativo"</f>
        <v>1.1.2.15.01- Carne Rotativo</v>
      </c>
      <c r="B71" s="10">
        <v>41055.300000000003</v>
      </c>
      <c r="C71" s="10">
        <v>-34684.65</v>
      </c>
      <c r="D71" s="10">
        <v>6370.65</v>
      </c>
    </row>
    <row r="72" spans="1:4" x14ac:dyDescent="0.25">
      <c r="A72" s="2" t="str">
        <f>"1.2.0.00.00- ATIVO NAO CIRCULANTE"</f>
        <v>1.2.0.00.00- ATIVO NAO CIRCULANTE</v>
      </c>
      <c r="B72" s="10">
        <v>11169677.16</v>
      </c>
      <c r="C72" s="10">
        <v>571393.85</v>
      </c>
      <c r="D72" s="10">
        <v>11741071.01</v>
      </c>
    </row>
    <row r="73" spans="1:4" x14ac:dyDescent="0.25">
      <c r="A73" s="2" t="str">
        <f>"1.2.1.00.00- REALIZAVEL A LONGO PRAZO"</f>
        <v>1.2.1.00.00- REALIZAVEL A LONGO PRAZO</v>
      </c>
      <c r="B73" s="10">
        <v>9019036.1999999993</v>
      </c>
      <c r="C73" s="10">
        <v>584813.31000000006</v>
      </c>
      <c r="D73" s="10">
        <v>9603849.5099999998</v>
      </c>
    </row>
    <row r="74" spans="1:4" x14ac:dyDescent="0.25">
      <c r="A74" s="2" t="str">
        <f>"1.2.1.01.00- CREDITOS E VALORES A RECEBER"</f>
        <v>1.2.1.01.00- CREDITOS E VALORES A RECEBER</v>
      </c>
      <c r="B74" s="10">
        <v>9019036.1999999993</v>
      </c>
      <c r="C74" s="10">
        <v>584813.31000000006</v>
      </c>
      <c r="D74" s="10">
        <v>9603849.5099999998</v>
      </c>
    </row>
    <row r="75" spans="1:4" x14ac:dyDescent="0.25">
      <c r="A75" s="2" t="str">
        <f>"1.2.1.01.01- Depositos Judiciais"</f>
        <v>1.2.1.01.01- Depositos Judiciais</v>
      </c>
      <c r="B75" s="10">
        <v>3183770.95</v>
      </c>
      <c r="C75" s="10">
        <v>584813.31000000006</v>
      </c>
      <c r="D75" s="10">
        <v>3768584.26</v>
      </c>
    </row>
    <row r="76" spans="1:4" x14ac:dyDescent="0.25">
      <c r="A76" s="2" t="str">
        <f>"1.2.1.01.03- Depositos Judiciais de Terceiros"</f>
        <v>1.2.1.01.03- Depositos Judiciais de Terceiros</v>
      </c>
      <c r="B76" s="10">
        <v>357770.4</v>
      </c>
      <c r="C76" s="10">
        <v>0</v>
      </c>
      <c r="D76" s="10">
        <v>357770.4</v>
      </c>
    </row>
    <row r="77" spans="1:4" x14ac:dyDescent="0.25">
      <c r="A77" s="2" t="str">
        <f>"1.2.1.01.04- Convenio Prefeitura Betim"</f>
        <v>1.2.1.01.04- Convenio Prefeitura Betim</v>
      </c>
      <c r="B77" s="10">
        <v>21463.9</v>
      </c>
      <c r="C77" s="10">
        <v>0</v>
      </c>
      <c r="D77" s="10">
        <v>21463.9</v>
      </c>
    </row>
    <row r="78" spans="1:4" x14ac:dyDescent="0.25">
      <c r="A78" s="2" t="str">
        <f>"1.2.1.01.05- Convenio IPSEMG"</f>
        <v>1.2.1.01.05- Convenio IPSEMG</v>
      </c>
      <c r="B78" s="10">
        <v>21163.53</v>
      </c>
      <c r="C78" s="10">
        <v>0</v>
      </c>
      <c r="D78" s="10">
        <v>21163.53</v>
      </c>
    </row>
    <row r="79" spans="1:4" x14ac:dyDescent="0.25">
      <c r="A79" s="2" t="str">
        <f>"1.2.1.01.06- Multas Transporte Coletivo"</f>
        <v>1.2.1.01.06- Multas Transporte Coletivo</v>
      </c>
      <c r="B79" s="10">
        <v>5434867.4199999999</v>
      </c>
      <c r="C79" s="10">
        <v>0</v>
      </c>
      <c r="D79" s="10">
        <v>5434867.4199999999</v>
      </c>
    </row>
    <row r="80" spans="1:4" x14ac:dyDescent="0.25">
      <c r="A80" s="2" t="str">
        <f>"1.3.1.00.00- INVESTIMENTOS"</f>
        <v>1.3.1.00.00- INVESTIMENTOS</v>
      </c>
      <c r="B80" s="10">
        <v>26070</v>
      </c>
      <c r="C80" s="10">
        <v>0</v>
      </c>
      <c r="D80" s="10">
        <v>26070</v>
      </c>
    </row>
    <row r="81" spans="1:4" x14ac:dyDescent="0.25">
      <c r="A81" s="2" t="str">
        <f>"1.3.1.01.00- OUTROS INVESTIMENTOS"</f>
        <v>1.3.1.01.00- OUTROS INVESTIMENTOS</v>
      </c>
      <c r="B81" s="10">
        <v>26070</v>
      </c>
      <c r="C81" s="10">
        <v>0</v>
      </c>
      <c r="D81" s="10">
        <v>26070</v>
      </c>
    </row>
    <row r="82" spans="1:4" x14ac:dyDescent="0.25">
      <c r="A82" s="2" t="str">
        <f>"1.3.1.01.01- Obras de Arte"</f>
        <v>1.3.1.01.01- Obras de Arte</v>
      </c>
      <c r="B82" s="10">
        <v>25200</v>
      </c>
      <c r="C82" s="10">
        <v>0</v>
      </c>
      <c r="D82" s="10">
        <v>25200</v>
      </c>
    </row>
    <row r="83" spans="1:4" x14ac:dyDescent="0.25">
      <c r="A83" s="2" t="str">
        <f>"1.3.1.01.02- Participações Societárias - PBH ATIVOS"</f>
        <v>1.3.1.01.02- Participações Societárias - PBH ATIVOS</v>
      </c>
      <c r="B83" s="10">
        <v>870</v>
      </c>
      <c r="C83" s="10">
        <v>0</v>
      </c>
      <c r="D83" s="10">
        <v>870</v>
      </c>
    </row>
    <row r="84" spans="1:4" x14ac:dyDescent="0.25">
      <c r="A84" s="2" t="str">
        <f>"1.3.2.00.00- IMOBILIZADO"</f>
        <v>1.3.2.00.00- IMOBILIZADO</v>
      </c>
      <c r="B84" s="10">
        <v>6860829.1299999999</v>
      </c>
      <c r="C84" s="10">
        <v>-15983.68</v>
      </c>
      <c r="D84" s="10">
        <v>6844845.4500000002</v>
      </c>
    </row>
    <row r="85" spans="1:4" x14ac:dyDescent="0.25">
      <c r="A85" s="2" t="str">
        <f>"1.3.2.01.01- Maquinas e equipamentos"</f>
        <v>1.3.2.01.01- Maquinas e equipamentos</v>
      </c>
      <c r="B85" s="10">
        <v>233645.46</v>
      </c>
      <c r="C85" s="10">
        <v>8360</v>
      </c>
      <c r="D85" s="10">
        <v>242005.46</v>
      </c>
    </row>
    <row r="86" spans="1:4" x14ac:dyDescent="0.25">
      <c r="A86" s="2" t="str">
        <f>"1.3.2.02.01- Ferramentas"</f>
        <v>1.3.2.02.01- Ferramentas</v>
      </c>
      <c r="B86" s="10">
        <v>9104.81</v>
      </c>
      <c r="C86" s="10">
        <v>0</v>
      </c>
      <c r="D86" s="10">
        <v>9104.81</v>
      </c>
    </row>
    <row r="87" spans="1:4" x14ac:dyDescent="0.25">
      <c r="A87" s="2" t="str">
        <f>"1.3.2.03.01- Equipamentos de comunicacao"</f>
        <v>1.3.2.03.01- Equipamentos de comunicacao</v>
      </c>
      <c r="B87" s="10">
        <v>191504.73</v>
      </c>
      <c r="C87" s="10">
        <v>-19337.72</v>
      </c>
      <c r="D87" s="10">
        <v>172167.01</v>
      </c>
    </row>
    <row r="88" spans="1:4" x14ac:dyDescent="0.25">
      <c r="A88" s="2" t="str">
        <f>"1.3.2.04.01- Instalacoes"</f>
        <v>1.3.2.04.01- Instalacoes</v>
      </c>
      <c r="B88" s="10">
        <v>85222.9</v>
      </c>
      <c r="C88" s="10">
        <v>0</v>
      </c>
      <c r="D88" s="10">
        <v>85222.9</v>
      </c>
    </row>
    <row r="89" spans="1:4" x14ac:dyDescent="0.25">
      <c r="A89" s="2" t="str">
        <f>"1.3.2.06.01- Moveis e utensilios"</f>
        <v>1.3.2.06.01- Moveis e utensilios</v>
      </c>
      <c r="B89" s="10">
        <v>538276.85</v>
      </c>
      <c r="C89" s="10">
        <v>-685.36</v>
      </c>
      <c r="D89" s="10">
        <v>537591.49</v>
      </c>
    </row>
    <row r="90" spans="1:4" x14ac:dyDescent="0.25">
      <c r="A90" s="2" t="str">
        <f>"1.3.2.08.01- Instalacoes administrativas"</f>
        <v>1.3.2.08.01- Instalacoes administrativas</v>
      </c>
      <c r="B90" s="10">
        <v>99146.34</v>
      </c>
      <c r="C90" s="10">
        <v>0</v>
      </c>
      <c r="D90" s="10">
        <v>99146.34</v>
      </c>
    </row>
    <row r="91" spans="1:4" x14ac:dyDescent="0.25">
      <c r="A91" s="2" t="str">
        <f>"1.3.2.09.01- Aparelhos/equipamentos diversos"</f>
        <v>1.3.2.09.01- Aparelhos/equipamentos diversos</v>
      </c>
      <c r="B91" s="10">
        <v>603350.32999999996</v>
      </c>
      <c r="C91" s="10">
        <v>-2598</v>
      </c>
      <c r="D91" s="10">
        <v>600752.32999999996</v>
      </c>
    </row>
    <row r="92" spans="1:4" x14ac:dyDescent="0.25">
      <c r="A92" s="2" t="str">
        <f>"1.3.2.10.01- Equip. p/ processamento de dados"</f>
        <v>1.3.2.10.01- Equip. p/ processamento de dados</v>
      </c>
      <c r="B92" s="10">
        <v>696029.05</v>
      </c>
      <c r="C92" s="10">
        <v>0</v>
      </c>
      <c r="D92" s="10">
        <v>696029.05</v>
      </c>
    </row>
    <row r="93" spans="1:4" x14ac:dyDescent="0.25">
      <c r="A93" s="2" t="str">
        <f>"1.3.2.12.01- Micros/impressoras e acessorios"</f>
        <v>1.3.2.12.01- Micros/impressoras e acessorios</v>
      </c>
      <c r="B93" s="10">
        <v>2687164.28</v>
      </c>
      <c r="C93" s="10">
        <v>-1722.6</v>
      </c>
      <c r="D93" s="10">
        <v>2685441.68</v>
      </c>
    </row>
    <row r="94" spans="1:4" x14ac:dyDescent="0.25">
      <c r="A94" s="2" t="str">
        <f>"1.3.2.13.01- Imobilizacao em imoveis de terceiros"</f>
        <v>1.3.2.13.01- Imobilizacao em imoveis de terceiros</v>
      </c>
      <c r="B94" s="10">
        <v>1673924.44</v>
      </c>
      <c r="C94" s="10">
        <v>0</v>
      </c>
      <c r="D94" s="10">
        <v>1673924.44</v>
      </c>
    </row>
    <row r="95" spans="1:4" x14ac:dyDescent="0.25">
      <c r="A95" s="2" t="str">
        <f>"1.3.2.14.02- Estacao pampulha"</f>
        <v>1.3.2.14.02- Estacao pampulha</v>
      </c>
      <c r="B95" s="10">
        <v>43459.94</v>
      </c>
      <c r="C95" s="10">
        <v>0</v>
      </c>
      <c r="D95" s="10">
        <v>43459.94</v>
      </c>
    </row>
    <row r="96" spans="1:4" x14ac:dyDescent="0.25">
      <c r="A96" s="2" t="str">
        <f>"1.3.3.00.00- INTANGIVEL"</f>
        <v>1.3.3.00.00- INTANGIVEL</v>
      </c>
      <c r="B96" s="10">
        <v>891163.55</v>
      </c>
      <c r="C96" s="10">
        <v>298</v>
      </c>
      <c r="D96" s="10">
        <v>891461.55</v>
      </c>
    </row>
    <row r="97" spans="1:4" x14ac:dyDescent="0.25">
      <c r="A97" s="2" t="str">
        <f>"1.3.3.03.00- MARCAS E PATENTES"</f>
        <v>1.3.3.03.00- MARCAS E PATENTES</v>
      </c>
      <c r="B97" s="10">
        <v>808</v>
      </c>
      <c r="C97" s="10">
        <v>298</v>
      </c>
      <c r="D97" s="10">
        <v>1106</v>
      </c>
    </row>
    <row r="98" spans="1:4" x14ac:dyDescent="0.25">
      <c r="A98" s="2" t="str">
        <f>"1.3.3.03.01- Marcas e Patentes"</f>
        <v>1.3.3.03.01- Marcas e Patentes</v>
      </c>
      <c r="B98" s="10">
        <v>808</v>
      </c>
      <c r="C98" s="10">
        <v>298</v>
      </c>
      <c r="D98" s="10">
        <v>1106</v>
      </c>
    </row>
    <row r="99" spans="1:4" x14ac:dyDescent="0.25">
      <c r="A99" s="2" t="str">
        <f>"1.3.3.04.01- Programas e Sistemas"</f>
        <v>1.3.3.04.01- Programas e Sistemas</v>
      </c>
      <c r="B99" s="10">
        <v>890355.55</v>
      </c>
      <c r="C99" s="10">
        <v>0</v>
      </c>
      <c r="D99" s="10">
        <v>890355.55</v>
      </c>
    </row>
    <row r="100" spans="1:4" x14ac:dyDescent="0.25">
      <c r="A100" s="2" t="str">
        <f>"1.3.5.00.00- ( - )DEPRECIACAO E AMORTIZACAO"</f>
        <v>1.3.5.00.00- ( - )DEPRECIACAO E AMORTIZACAO</v>
      </c>
      <c r="B100" s="10">
        <v>-5627421.7199999997</v>
      </c>
      <c r="C100" s="10">
        <v>2266.2199999999998</v>
      </c>
      <c r="D100" s="10">
        <v>-5625155.5</v>
      </c>
    </row>
    <row r="101" spans="1:4" x14ac:dyDescent="0.25">
      <c r="A101" s="2" t="str">
        <f>"1.3.5.01.00- ( - ) DEPRECIACAO E AMORTIZACAO"</f>
        <v>1.3.5.01.00- ( - ) DEPRECIACAO E AMORTIZACAO</v>
      </c>
      <c r="B101" s="10">
        <v>-5627421.7199999997</v>
      </c>
      <c r="C101" s="10">
        <v>2266.2199999999998</v>
      </c>
      <c r="D101" s="10">
        <v>-5625155.5</v>
      </c>
    </row>
    <row r="102" spans="1:4" x14ac:dyDescent="0.25">
      <c r="A102" s="2" t="str">
        <f>"1.3.5.01.01- ( - ) Moveis e Utensilios"</f>
        <v>1.3.5.01.01- ( - ) Moveis e Utensilios</v>
      </c>
      <c r="B102" s="10">
        <v>-434291.48</v>
      </c>
      <c r="C102" s="10">
        <v>-1849.64</v>
      </c>
      <c r="D102" s="10">
        <v>-436141.12</v>
      </c>
    </row>
    <row r="103" spans="1:4" x14ac:dyDescent="0.25">
      <c r="A103" s="2" t="str">
        <f>"1.3.5.01.02- ( - ) Aparelhos/Equipamentos Diversos"</f>
        <v>1.3.5.01.02- ( - ) Aparelhos/Equipamentos Diversos</v>
      </c>
      <c r="B103" s="10">
        <v>-350518.7</v>
      </c>
      <c r="C103" s="10">
        <v>-1462.16</v>
      </c>
      <c r="D103" s="10">
        <v>-351980.86</v>
      </c>
    </row>
    <row r="104" spans="1:4" x14ac:dyDescent="0.25">
      <c r="A104" s="2" t="str">
        <f>"1.3.5.01.03- ( - ) Instalacoes Administrativas"</f>
        <v>1.3.5.01.03- ( - ) Instalacoes Administrativas</v>
      </c>
      <c r="B104" s="10">
        <v>-98705.88</v>
      </c>
      <c r="C104" s="10">
        <v>-97.75</v>
      </c>
      <c r="D104" s="10">
        <v>-98803.63</v>
      </c>
    </row>
    <row r="105" spans="1:4" x14ac:dyDescent="0.25">
      <c r="A105" s="2" t="str">
        <f>"1.3.5.01.05- ( - ) Impressoras e Micros"</f>
        <v>1.3.5.01.05- ( - ) Impressoras e Micros</v>
      </c>
      <c r="B105" s="10">
        <v>-2616818.69</v>
      </c>
      <c r="C105" s="10">
        <v>-5562.95</v>
      </c>
      <c r="D105" s="10">
        <v>-2622381.64</v>
      </c>
    </row>
    <row r="106" spans="1:4" x14ac:dyDescent="0.25">
      <c r="A106" s="2" t="str">
        <f>"1.3.5.01.06- ( - ) Maquinas e Equipamentos"</f>
        <v>1.3.5.01.06- ( - ) Maquinas e Equipamentos</v>
      </c>
      <c r="B106" s="10">
        <v>-150150.66</v>
      </c>
      <c r="C106" s="10">
        <v>-1499.51</v>
      </c>
      <c r="D106" s="10">
        <v>-151650.17000000001</v>
      </c>
    </row>
    <row r="107" spans="1:4" x14ac:dyDescent="0.25">
      <c r="A107" s="2" t="str">
        <f>"1.3.5.01.07- ( - ) Equipamentos de Comunicacao"</f>
        <v>1.3.5.01.07- ( - ) Equipamentos de Comunicacao</v>
      </c>
      <c r="B107" s="10">
        <v>-190997.77</v>
      </c>
      <c r="C107" s="10">
        <v>19259.7</v>
      </c>
      <c r="D107" s="10">
        <v>-171738.07</v>
      </c>
    </row>
    <row r="108" spans="1:4" x14ac:dyDescent="0.25">
      <c r="A108" s="2" t="str">
        <f>"1.3.5.01.08- ( - ) Instalacoes Operacionais"</f>
        <v>1.3.5.01.08- ( - ) Instalacoes Operacionais</v>
      </c>
      <c r="B108" s="10">
        <v>-65326.2</v>
      </c>
      <c r="C108" s="10">
        <v>-272.37</v>
      </c>
      <c r="D108" s="10">
        <v>-65598.570000000007</v>
      </c>
    </row>
    <row r="109" spans="1:4" x14ac:dyDescent="0.25">
      <c r="A109" s="2" t="str">
        <f>"1.3.5.01.09- ( - ) Programas (Softwares)"</f>
        <v>1.3.5.01.09- ( - ) Programas (Softwares)</v>
      </c>
      <c r="B109" s="10">
        <v>-636372.13</v>
      </c>
      <c r="C109" s="10">
        <v>-612.5</v>
      </c>
      <c r="D109" s="10">
        <v>-636984.63</v>
      </c>
    </row>
    <row r="110" spans="1:4" x14ac:dyDescent="0.25">
      <c r="A110" s="2" t="str">
        <f>"1.3.5.01.14- ( - ) Ferramentas"</f>
        <v>1.3.5.01.14- ( - ) Ferramentas</v>
      </c>
      <c r="B110" s="10">
        <v>-6922.72</v>
      </c>
      <c r="C110" s="10">
        <v>-56.85</v>
      </c>
      <c r="D110" s="10">
        <v>-6979.57</v>
      </c>
    </row>
    <row r="111" spans="1:4" x14ac:dyDescent="0.25">
      <c r="A111" s="2" t="str">
        <f>"1.3.5.01.15- ( - ) Imobilizacoes em Imov. Terceiros"</f>
        <v>1.3.5.01.15- ( - ) Imobilizacoes em Imov. Terceiros</v>
      </c>
      <c r="B111" s="10">
        <v>-1077317.49</v>
      </c>
      <c r="C111" s="10">
        <v>-5579.75</v>
      </c>
      <c r="D111" s="10">
        <v>-1082897.24</v>
      </c>
    </row>
    <row r="112" spans="1:4" x14ac:dyDescent="0.25">
      <c r="A112" s="2" t="str">
        <f>""</f>
        <v/>
      </c>
      <c r="B112" s="3" t="str">
        <f>""</f>
        <v/>
      </c>
      <c r="C112" s="3" t="str">
        <f>""</f>
        <v/>
      </c>
      <c r="D112" s="3" t="str">
        <f>""</f>
        <v/>
      </c>
    </row>
    <row r="113" spans="1:4" x14ac:dyDescent="0.25">
      <c r="A113" s="2" t="str">
        <f>"PASSIVO"</f>
        <v>PASSIVO</v>
      </c>
      <c r="B113" s="3" t="str">
        <f>""</f>
        <v/>
      </c>
      <c r="C113" s="3" t="str">
        <f>""</f>
        <v/>
      </c>
      <c r="D113" s="3" t="str">
        <f>""</f>
        <v/>
      </c>
    </row>
    <row r="114" spans="1:4" x14ac:dyDescent="0.25">
      <c r="A114" s="2" t="str">
        <f>"2.0.0.00.00- PASSIVO"</f>
        <v>2.0.0.00.00- PASSIVO</v>
      </c>
      <c r="B114" s="10">
        <v>41989727.289999999</v>
      </c>
      <c r="C114" s="10">
        <v>1869060.1</v>
      </c>
      <c r="D114" s="10">
        <v>43858787.390000001</v>
      </c>
    </row>
    <row r="115" spans="1:4" x14ac:dyDescent="0.25">
      <c r="A115" s="2" t="str">
        <f>"2.1.0.00.00- PASSIVO CIRCULANTE"</f>
        <v>2.1.0.00.00- PASSIVO CIRCULANTE</v>
      </c>
      <c r="B115" s="10">
        <v>66272917.189999998</v>
      </c>
      <c r="C115" s="10">
        <v>2206469.35</v>
      </c>
      <c r="D115" s="10">
        <v>68479386.540000007</v>
      </c>
    </row>
    <row r="116" spans="1:4" x14ac:dyDescent="0.25">
      <c r="A116" s="2" t="str">
        <f>"2.1.1.00.00- OBRIGACOES COM PESSOAL"</f>
        <v>2.1.1.00.00- OBRIGACOES COM PESSOAL</v>
      </c>
      <c r="B116" s="10">
        <v>24555980.5</v>
      </c>
      <c r="C116" s="10">
        <v>-311192.58</v>
      </c>
      <c r="D116" s="10">
        <v>24244787.920000002</v>
      </c>
    </row>
    <row r="117" spans="1:4" x14ac:dyDescent="0.25">
      <c r="A117" s="2" t="str">
        <f>"2.1.1.01.00- SALARIOS A PAGAR"</f>
        <v>2.1.1.01.00- SALARIOS A PAGAR</v>
      </c>
      <c r="B117" s="10">
        <v>24555980.5</v>
      </c>
      <c r="C117" s="10">
        <v>-311192.58</v>
      </c>
      <c r="D117" s="10">
        <v>24244787.920000002</v>
      </c>
    </row>
    <row r="118" spans="1:4" x14ac:dyDescent="0.25">
      <c r="A118" s="2" t="str">
        <f>"2.1.1.01.01- Salarios a Pagar"</f>
        <v>2.1.1.01.01- Salarios a Pagar</v>
      </c>
      <c r="B118" s="10">
        <v>4737084.24</v>
      </c>
      <c r="C118" s="10">
        <v>96003.43</v>
      </c>
      <c r="D118" s="10">
        <v>4833087.67</v>
      </c>
    </row>
    <row r="119" spans="1:4" x14ac:dyDescent="0.25">
      <c r="A119" s="2" t="str">
        <f>"2.1.1.01.02- Provisão 13º Salário"</f>
        <v>2.1.1.01.02- Provisão 13º Salário</v>
      </c>
      <c r="B119" s="10">
        <v>3114890.22</v>
      </c>
      <c r="C119" s="10">
        <v>437177.13</v>
      </c>
      <c r="D119" s="10">
        <v>3552067.35</v>
      </c>
    </row>
    <row r="120" spans="1:4" x14ac:dyDescent="0.25">
      <c r="A120" s="2" t="str">
        <f>"2.1.1.01.03- Ferias a pagar"</f>
        <v>2.1.1.01.03- Ferias a pagar</v>
      </c>
      <c r="B120" s="10">
        <v>55920.05</v>
      </c>
      <c r="C120" s="10">
        <v>179712.12</v>
      </c>
      <c r="D120" s="10">
        <v>235632.17</v>
      </c>
    </row>
    <row r="121" spans="1:4" x14ac:dyDescent="0.25">
      <c r="A121" s="2" t="str">
        <f>"2.1.1.01.05- Rescisoes a Pagar"</f>
        <v>2.1.1.01.05- Rescisoes a Pagar</v>
      </c>
      <c r="B121" s="10">
        <v>42174.84</v>
      </c>
      <c r="C121" s="10">
        <v>7288.44</v>
      </c>
      <c r="D121" s="10">
        <v>49463.28</v>
      </c>
    </row>
    <row r="122" spans="1:4" x14ac:dyDescent="0.25">
      <c r="A122" s="2" t="str">
        <f>"2.1.1.01.09- Provisao de Ferias"</f>
        <v>2.1.1.01.09- Provisao de Ferias</v>
      </c>
      <c r="B122" s="10">
        <v>6844847</v>
      </c>
      <c r="C122" s="10">
        <v>-28352.19</v>
      </c>
      <c r="D122" s="10">
        <v>6816494.8099999996</v>
      </c>
    </row>
    <row r="123" spans="1:4" x14ac:dyDescent="0.25">
      <c r="A123" s="2" t="str">
        <f>"2.1.1.01.10- Diferencas Salariais"</f>
        <v>2.1.1.01.10- Diferencas Salariais</v>
      </c>
      <c r="B123" s="10">
        <v>7335.29</v>
      </c>
      <c r="C123" s="10">
        <v>-7335.29</v>
      </c>
      <c r="D123" s="10">
        <v>0</v>
      </c>
    </row>
    <row r="124" spans="1:4" x14ac:dyDescent="0.25">
      <c r="A124" s="2" t="str">
        <f>"2.1.1.01.11- Indenizações trabalhistas - ACT"</f>
        <v>2.1.1.01.11- Indenizações trabalhistas - ACT</v>
      </c>
      <c r="B124" s="10">
        <v>9753728.8599999994</v>
      </c>
      <c r="C124" s="10">
        <v>-995686.22</v>
      </c>
      <c r="D124" s="10">
        <v>8758042.6400000006</v>
      </c>
    </row>
    <row r="125" spans="1:4" x14ac:dyDescent="0.25">
      <c r="A125" s="2" t="str">
        <f>"2.1.2.00.00- OBRIGACOES SOCIAIS A CURTO PRAZO"</f>
        <v>2.1.2.00.00- OBRIGACOES SOCIAIS A CURTO PRAZO</v>
      </c>
      <c r="B125" s="10">
        <v>7347055.5700000003</v>
      </c>
      <c r="C125" s="10">
        <v>-146559.9</v>
      </c>
      <c r="D125" s="10">
        <v>7200495.6699999999</v>
      </c>
    </row>
    <row r="126" spans="1:4" x14ac:dyDescent="0.25">
      <c r="A126" s="2" t="str">
        <f>"2.1.2.01.00- OBRIGACOES SOCIAIS A RECOLHER"</f>
        <v>2.1.2.01.00- OBRIGACOES SOCIAIS A RECOLHER</v>
      </c>
      <c r="B126" s="10">
        <v>7347055.5700000003</v>
      </c>
      <c r="C126" s="10">
        <v>-146559.9</v>
      </c>
      <c r="D126" s="10">
        <v>7200495.6699999999</v>
      </c>
    </row>
    <row r="127" spans="1:4" x14ac:dyDescent="0.25">
      <c r="A127" s="2" t="str">
        <f>"2.1.2.01.01- INSS a recolher s/Folha Pagto"</f>
        <v>2.1.2.01.01- INSS a recolher s/Folha Pagto</v>
      </c>
      <c r="B127" s="10">
        <v>2510818.21</v>
      </c>
      <c r="C127" s="10">
        <v>-147503.63</v>
      </c>
      <c r="D127" s="10">
        <v>2363314.58</v>
      </c>
    </row>
    <row r="128" spans="1:4" x14ac:dyDescent="0.25">
      <c r="A128" s="2" t="str">
        <f>"2.1.2.01.02- FGTS a recolher s/Folha Pagto"</f>
        <v>2.1.2.01.02- FGTS a recolher s/Folha Pagto</v>
      </c>
      <c r="B128" s="10">
        <v>544061.43999999994</v>
      </c>
      <c r="C128" s="10">
        <v>-16264.17</v>
      </c>
      <c r="D128" s="10">
        <v>527797.27</v>
      </c>
    </row>
    <row r="129" spans="1:4" x14ac:dyDescent="0.25">
      <c r="A129" s="2" t="str">
        <f>"2.1.2.01.05- Contribuicao Sindical"</f>
        <v>2.1.2.01.05- Contribuicao Sindical</v>
      </c>
      <c r="B129" s="10">
        <v>8109.2</v>
      </c>
      <c r="C129" s="10">
        <v>50.77</v>
      </c>
      <c r="D129" s="10">
        <v>8159.97</v>
      </c>
    </row>
    <row r="130" spans="1:4" x14ac:dyDescent="0.25">
      <c r="A130" s="2" t="str">
        <f>"2.1.2.01.06- INSS s/Provisao de Ferias"</f>
        <v>2.1.2.01.06- INSS s/Provisao de Ferias</v>
      </c>
      <c r="B130" s="10">
        <v>1985715.94</v>
      </c>
      <c r="C130" s="10">
        <v>-4828.83</v>
      </c>
      <c r="D130" s="10">
        <v>1980887.11</v>
      </c>
    </row>
    <row r="131" spans="1:4" x14ac:dyDescent="0.25">
      <c r="A131" s="2" t="str">
        <f>"2.1.2.01.07- AEB - Assoc. Empreg. BHTRANS"</f>
        <v>2.1.2.01.07- AEB - Assoc. Empreg. BHTRANS</v>
      </c>
      <c r="B131" s="10">
        <v>5020.4799999999996</v>
      </c>
      <c r="C131" s="10">
        <v>-63.34</v>
      </c>
      <c r="D131" s="10">
        <v>4957.1400000000003</v>
      </c>
    </row>
    <row r="132" spans="1:4" x14ac:dyDescent="0.25">
      <c r="A132" s="2" t="str">
        <f>"2.1.2.01.09- INSS a Recolher s/Autonomos"</f>
        <v>2.1.2.01.09- INSS a Recolher s/Autonomos</v>
      </c>
      <c r="B132" s="10">
        <v>0</v>
      </c>
      <c r="C132" s="10">
        <v>1480.12</v>
      </c>
      <c r="D132" s="10">
        <v>1480.12</v>
      </c>
    </row>
    <row r="133" spans="1:4" x14ac:dyDescent="0.25">
      <c r="A133" s="2" t="str">
        <f>"2.1.2.01.10- INSS s/Provisao de 13.Salario"</f>
        <v>2.1.2.01.10- INSS s/Provisao de 13.Salario</v>
      </c>
      <c r="B133" s="10">
        <v>905826.77</v>
      </c>
      <c r="C133" s="10">
        <v>128947.97</v>
      </c>
      <c r="D133" s="10">
        <v>1034774.74</v>
      </c>
    </row>
    <row r="134" spans="1:4" x14ac:dyDescent="0.25">
      <c r="A134" s="2" t="str">
        <f>"2.1.2.01.11- FGTS s/Provisao de 13.Salario"</f>
        <v>2.1.2.01.11- FGTS s/Provisao de 13.Salario</v>
      </c>
      <c r="B134" s="10">
        <v>73190.11</v>
      </c>
      <c r="C134" s="10">
        <v>31523.26</v>
      </c>
      <c r="D134" s="10">
        <v>104713.37</v>
      </c>
    </row>
    <row r="135" spans="1:4" x14ac:dyDescent="0.25">
      <c r="A135" s="2" t="str">
        <f>"2.1.2.01.12- FGTS s/Provisao de Ferias"</f>
        <v>2.1.2.01.12- FGTS s/Provisao de Ferias</v>
      </c>
      <c r="B135" s="10">
        <v>546545.52</v>
      </c>
      <c r="C135" s="10">
        <v>-2199.79</v>
      </c>
      <c r="D135" s="10">
        <v>544345.73</v>
      </c>
    </row>
    <row r="136" spans="1:4" x14ac:dyDescent="0.25">
      <c r="A136" s="2" t="str">
        <f>"2.1.2.01.13- Contribuicao ao PAMEH"</f>
        <v>2.1.2.01.13- Contribuicao ao PAMEH</v>
      </c>
      <c r="B136" s="10">
        <v>512441.18</v>
      </c>
      <c r="C136" s="10">
        <v>-54579.72</v>
      </c>
      <c r="D136" s="10">
        <v>457861.46</v>
      </c>
    </row>
    <row r="137" spans="1:4" x14ac:dyDescent="0.25">
      <c r="A137" s="2" t="str">
        <f>"2.1.2.01.15- Crediserv-BH"</f>
        <v>2.1.2.01.15- Crediserv-BH</v>
      </c>
      <c r="B137" s="10">
        <v>18819.55</v>
      </c>
      <c r="C137" s="10">
        <v>-572.91999999999996</v>
      </c>
      <c r="D137" s="10">
        <v>18246.63</v>
      </c>
    </row>
    <row r="138" spans="1:4" x14ac:dyDescent="0.25">
      <c r="A138" s="2" t="str">
        <f>"2.1.2.01.16- INSS Fonte a Recolher - PJ"</f>
        <v>2.1.2.01.16- INSS Fonte a Recolher - PJ</v>
      </c>
      <c r="B138" s="10">
        <v>235113.69</v>
      </c>
      <c r="C138" s="10">
        <v>-82405.88</v>
      </c>
      <c r="D138" s="10">
        <v>152707.81</v>
      </c>
    </row>
    <row r="139" spans="1:4" x14ac:dyDescent="0.25">
      <c r="A139" s="2" t="str">
        <f>"2.1.2.01.18- INSS Fonte a Recolher - P F"</f>
        <v>2.1.2.01.18- INSS Fonte a Recolher - P F</v>
      </c>
      <c r="B139" s="10">
        <v>853.48</v>
      </c>
      <c r="C139" s="10">
        <v>-143.74</v>
      </c>
      <c r="D139" s="10">
        <v>709.74</v>
      </c>
    </row>
    <row r="140" spans="1:4" x14ac:dyDescent="0.25">
      <c r="A140" s="2" t="str">
        <f>"2.1.2.01.19- ASFIM - PBH"</f>
        <v>2.1.2.01.19- ASFIM - PBH</v>
      </c>
      <c r="B140" s="10">
        <v>540</v>
      </c>
      <c r="C140" s="10">
        <v>0</v>
      </c>
      <c r="D140" s="10">
        <v>540</v>
      </c>
    </row>
    <row r="141" spans="1:4" x14ac:dyDescent="0.25">
      <c r="A141" s="2" t="str">
        <f>"2.1.3.00.00- OBRIGACOES FISCAIS A CURTO PRAZO"</f>
        <v>2.1.3.00.00- OBRIGACOES FISCAIS A CURTO PRAZO</v>
      </c>
      <c r="B141" s="10">
        <v>2041789</v>
      </c>
      <c r="C141" s="10">
        <v>-363213.72</v>
      </c>
      <c r="D141" s="10">
        <v>1678575.28</v>
      </c>
    </row>
    <row r="142" spans="1:4" x14ac:dyDescent="0.25">
      <c r="A142" s="2" t="str">
        <f>"2.1.3.01.00- IMPOSTOS E TAXAS A RECOLHER"</f>
        <v>2.1.3.01.00- IMPOSTOS E TAXAS A RECOLHER</v>
      </c>
      <c r="B142" s="10">
        <v>2041789</v>
      </c>
      <c r="C142" s="10">
        <v>-363213.72</v>
      </c>
      <c r="D142" s="10">
        <v>1678575.28</v>
      </c>
    </row>
    <row r="143" spans="1:4" x14ac:dyDescent="0.25">
      <c r="A143" s="2" t="str">
        <f>"2.1.3.01.01- IRRF Fonte Folha Pagto"</f>
        <v>2.1.3.01.01- IRRF Fonte Folha Pagto</v>
      </c>
      <c r="B143" s="10">
        <v>1073031.6299999999</v>
      </c>
      <c r="C143" s="10">
        <v>-413304.31</v>
      </c>
      <c r="D143" s="10">
        <v>659727.31999999995</v>
      </c>
    </row>
    <row r="144" spans="1:4" x14ac:dyDescent="0.25">
      <c r="A144" s="2" t="str">
        <f>"2.1.3.01.03- IRRF Fonte - Pessoa  Juridica e Física"</f>
        <v>2.1.3.01.03- IRRF Fonte - Pessoa  Juridica e Física</v>
      </c>
      <c r="B144" s="10">
        <v>22293.07</v>
      </c>
      <c r="C144" s="10">
        <v>-4524.93</v>
      </c>
      <c r="D144" s="10">
        <v>17768.14</v>
      </c>
    </row>
    <row r="145" spans="1:4" x14ac:dyDescent="0.25">
      <c r="A145" s="2" t="str">
        <f>"2.1.3.01.04- ISS Retido Fonte PF"</f>
        <v>2.1.3.01.04- ISS Retido Fonte PF</v>
      </c>
      <c r="B145" s="10">
        <v>0</v>
      </c>
      <c r="C145" s="10">
        <v>4.58</v>
      </c>
      <c r="D145" s="10">
        <v>4.58</v>
      </c>
    </row>
    <row r="146" spans="1:4" x14ac:dyDescent="0.25">
      <c r="A146" s="2" t="str">
        <f>"2.1.3.01.05- ISS S/ Faturamento"</f>
        <v>2.1.3.01.05- ISS S/ Faturamento</v>
      </c>
      <c r="B146" s="10">
        <v>2173.88</v>
      </c>
      <c r="C146" s="10">
        <v>476.24</v>
      </c>
      <c r="D146" s="10">
        <v>2650.12</v>
      </c>
    </row>
    <row r="147" spans="1:4" x14ac:dyDescent="0.25">
      <c r="A147" s="2" t="str">
        <f>"2.1.3.01.07- COFINS a Recolher"</f>
        <v>2.1.3.01.07- COFINS a Recolher</v>
      </c>
      <c r="B147" s="10">
        <v>673628.75</v>
      </c>
      <c r="C147" s="10">
        <v>71436.86</v>
      </c>
      <c r="D147" s="10">
        <v>745065.61</v>
      </c>
    </row>
    <row r="148" spans="1:4" x14ac:dyDescent="0.25">
      <c r="A148" s="2" t="str">
        <f>"2.1.3.01.08- PIS a Recolher"</f>
        <v>2.1.3.01.08- PIS a Recolher</v>
      </c>
      <c r="B148" s="10">
        <v>146017.46</v>
      </c>
      <c r="C148" s="10">
        <v>15492.64</v>
      </c>
      <c r="D148" s="10">
        <v>161510.1</v>
      </c>
    </row>
    <row r="149" spans="1:4" x14ac:dyDescent="0.25">
      <c r="A149" s="2" t="str">
        <f>"2.1.3.01.09- ISS Fonte a Recolher P.Juridica"</f>
        <v>2.1.3.01.09- ISS Fonte a Recolher P.Juridica</v>
      </c>
      <c r="B149" s="10">
        <v>7235.61</v>
      </c>
      <c r="C149" s="10">
        <v>-3420.4</v>
      </c>
      <c r="D149" s="10">
        <v>3815.21</v>
      </c>
    </row>
    <row r="150" spans="1:4" x14ac:dyDescent="0.25">
      <c r="A150" s="2" t="str">
        <f>"2.1.3.01.12- CSLL-COFINS-PIS - FONTE"</f>
        <v>2.1.3.01.12- CSLL-COFINS-PIS - FONTE</v>
      </c>
      <c r="B150" s="10">
        <v>117408.6</v>
      </c>
      <c r="C150" s="10">
        <v>-29374.400000000001</v>
      </c>
      <c r="D150" s="10">
        <v>88034.2</v>
      </c>
    </row>
    <row r="151" spans="1:4" x14ac:dyDescent="0.25">
      <c r="A151" s="2" t="str">
        <f>"2.1.4.00.00- OUTRAS OBRIGACOES A CURTO PRAZO"</f>
        <v>2.1.4.00.00- OUTRAS OBRIGACOES A CURTO PRAZO</v>
      </c>
      <c r="B151" s="10">
        <v>32241476.5</v>
      </c>
      <c r="C151" s="10">
        <v>3018339.38</v>
      </c>
      <c r="D151" s="10">
        <v>35259815.880000003</v>
      </c>
    </row>
    <row r="152" spans="1:4" x14ac:dyDescent="0.25">
      <c r="A152" s="2" t="str">
        <f>"2.1.4.01.00- FORNECEDORES"</f>
        <v>2.1.4.01.00- FORNECEDORES</v>
      </c>
      <c r="B152" s="10">
        <v>2704881.66</v>
      </c>
      <c r="C152" s="10">
        <v>64457.57</v>
      </c>
      <c r="D152" s="10">
        <v>2769339.23</v>
      </c>
    </row>
    <row r="153" spans="1:4" x14ac:dyDescent="0.25">
      <c r="A153" s="2" t="str">
        <f>"2.1.4.01.99- Fornecedores"</f>
        <v>2.1.4.01.99- Fornecedores</v>
      </c>
      <c r="B153" s="10">
        <v>2704881.66</v>
      </c>
      <c r="C153" s="10">
        <v>64457.57</v>
      </c>
      <c r="D153" s="10">
        <v>2769339.23</v>
      </c>
    </row>
    <row r="154" spans="1:4" x14ac:dyDescent="0.25">
      <c r="A154" s="2" t="str">
        <f>"2.1.4.02.00- CONTAS A PAGAR"</f>
        <v>2.1.4.02.00- CONTAS A PAGAR</v>
      </c>
      <c r="B154" s="10">
        <v>287768.77</v>
      </c>
      <c r="C154" s="10">
        <v>22799.82</v>
      </c>
      <c r="D154" s="10">
        <v>310568.59000000003</v>
      </c>
    </row>
    <row r="155" spans="1:4" x14ac:dyDescent="0.25">
      <c r="A155" s="2" t="str">
        <f>"2.1.4.02.01- Emprestimo Consignado - Bradesco"</f>
        <v>2.1.4.02.01- Emprestimo Consignado - Bradesco</v>
      </c>
      <c r="B155" s="10">
        <v>68595.97</v>
      </c>
      <c r="C155" s="10">
        <v>12992.85</v>
      </c>
      <c r="D155" s="10">
        <v>81588.820000000007</v>
      </c>
    </row>
    <row r="156" spans="1:4" x14ac:dyDescent="0.25">
      <c r="A156" s="2" t="str">
        <f>"2.1.4.02.03- Emprestimo Consignado - CEF"</f>
        <v>2.1.4.02.03- Emprestimo Consignado - CEF</v>
      </c>
      <c r="B156" s="10">
        <v>36008.76</v>
      </c>
      <c r="C156" s="10">
        <v>27.81</v>
      </c>
      <c r="D156" s="10">
        <v>36036.57</v>
      </c>
    </row>
    <row r="157" spans="1:4" x14ac:dyDescent="0.25">
      <c r="A157" s="2" t="str">
        <f>"2.1.4.02.04- Emprestimo Consignado - B.Brasil"</f>
        <v>2.1.4.02.04- Emprestimo Consignado - B.Brasil</v>
      </c>
      <c r="B157" s="10">
        <v>68761.13</v>
      </c>
      <c r="C157" s="10">
        <v>10377.379999999999</v>
      </c>
      <c r="D157" s="10">
        <v>79138.509999999995</v>
      </c>
    </row>
    <row r="158" spans="1:4" x14ac:dyDescent="0.25">
      <c r="A158" s="2" t="str">
        <f>"2.1.4.02.05- Emprestimo Consignado-Banco Alfa"</f>
        <v>2.1.4.02.05- Emprestimo Consignado-Banco Alfa</v>
      </c>
      <c r="B158" s="10">
        <v>71491.88</v>
      </c>
      <c r="C158" s="10">
        <v>-1172.48</v>
      </c>
      <c r="D158" s="10">
        <v>70319.399999999994</v>
      </c>
    </row>
    <row r="159" spans="1:4" x14ac:dyDescent="0.25">
      <c r="A159" s="2" t="str">
        <f>"2.1.4.02.07- Emprestimo Consignado - B. Safra"</f>
        <v>2.1.4.02.07- Emprestimo Consignado - B. Safra</v>
      </c>
      <c r="B159" s="10">
        <v>18034.419999999998</v>
      </c>
      <c r="C159" s="10">
        <v>-571.44000000000005</v>
      </c>
      <c r="D159" s="10">
        <v>17462.98</v>
      </c>
    </row>
    <row r="160" spans="1:4" x14ac:dyDescent="0.25">
      <c r="A160" s="2" t="str">
        <f>"2.1.4.02.08- Emprestimo Consignado - BMG"</f>
        <v>2.1.4.02.08- Emprestimo Consignado - BMG</v>
      </c>
      <c r="B160" s="10">
        <v>141.55000000000001</v>
      </c>
      <c r="C160" s="10">
        <v>0</v>
      </c>
      <c r="D160" s="10">
        <v>141.55000000000001</v>
      </c>
    </row>
    <row r="161" spans="1:4" x14ac:dyDescent="0.25">
      <c r="A161" s="2" t="str">
        <f>"2.1.4.02.09- Emprestimo Consignado - BMC"</f>
        <v>2.1.4.02.09- Emprestimo Consignado - BMC</v>
      </c>
      <c r="B161" s="10">
        <v>1000.35</v>
      </c>
      <c r="C161" s="10">
        <v>0</v>
      </c>
      <c r="D161" s="10">
        <v>1000.35</v>
      </c>
    </row>
    <row r="162" spans="1:4" x14ac:dyDescent="0.25">
      <c r="A162" s="2" t="str">
        <f>"2.1.4.02.10- Cartão - BMG Card"</f>
        <v>2.1.4.02.10- Cartão - BMG Card</v>
      </c>
      <c r="B162" s="10">
        <v>6894.22</v>
      </c>
      <c r="C162" s="10">
        <v>688.76</v>
      </c>
      <c r="D162" s="10">
        <v>7582.98</v>
      </c>
    </row>
    <row r="163" spans="1:4" x14ac:dyDescent="0.25">
      <c r="A163" s="2" t="str">
        <f>"2.1.4.02.11- Contrib.Entid.Classe"</f>
        <v>2.1.4.02.11- Contrib.Entid.Classe</v>
      </c>
      <c r="B163" s="10">
        <v>214.82</v>
      </c>
      <c r="C163" s="10">
        <v>-133.29</v>
      </c>
      <c r="D163" s="10">
        <v>81.53</v>
      </c>
    </row>
    <row r="164" spans="1:4" x14ac:dyDescent="0.25">
      <c r="A164" s="2" t="str">
        <f>"2.1.4.02.12- Custas judiciais"</f>
        <v>2.1.4.02.12- Custas judiciais</v>
      </c>
      <c r="B164" s="10">
        <v>273.12</v>
      </c>
      <c r="C164" s="10">
        <v>1600</v>
      </c>
      <c r="D164" s="10">
        <v>1873.12</v>
      </c>
    </row>
    <row r="165" spans="1:4" x14ac:dyDescent="0.25">
      <c r="A165" s="2" t="str">
        <f>"2.1.4.02.99- Contas a Pagar"</f>
        <v>2.1.4.02.99- Contas a Pagar</v>
      </c>
      <c r="B165" s="10">
        <v>16352.55</v>
      </c>
      <c r="C165" s="10">
        <v>-1009.77</v>
      </c>
      <c r="D165" s="10">
        <v>15342.78</v>
      </c>
    </row>
    <row r="166" spans="1:4" x14ac:dyDescent="0.25">
      <c r="A166" s="2" t="str">
        <f>"2.1.4.03.00- CREDORES DIVERSOS"</f>
        <v>2.1.4.03.00- CREDORES DIVERSOS</v>
      </c>
      <c r="B166" s="10">
        <v>28692348.190000001</v>
      </c>
      <c r="C166" s="10">
        <v>2931081.99</v>
      </c>
      <c r="D166" s="10">
        <v>31623430.18</v>
      </c>
    </row>
    <row r="167" spans="1:4" x14ac:dyDescent="0.25">
      <c r="A167" s="2" t="str">
        <f>"2.1.4.03.07- Adiantamento Acionista - Municipio BH"</f>
        <v>2.1.4.03.07- Adiantamento Acionista - Municipio BH</v>
      </c>
      <c r="B167" s="10">
        <v>27775835.620000001</v>
      </c>
      <c r="C167" s="10">
        <v>2907982.64</v>
      </c>
      <c r="D167" s="10">
        <v>30683818.260000002</v>
      </c>
    </row>
    <row r="168" spans="1:4" x14ac:dyDescent="0.25">
      <c r="A168" s="2" t="str">
        <f>"2.1.4.03.17- Adiantamento de Clientes"</f>
        <v>2.1.4.03.17- Adiantamento de Clientes</v>
      </c>
      <c r="B168" s="10">
        <v>916512.57</v>
      </c>
      <c r="C168" s="10">
        <v>23099.35</v>
      </c>
      <c r="D168" s="10">
        <v>939611.92</v>
      </c>
    </row>
    <row r="169" spans="1:4" x14ac:dyDescent="0.25">
      <c r="A169" s="2" t="str">
        <f>"2.1.4.04.00- CAUCAO DE TERCEIROS/LEILAO"</f>
        <v>2.1.4.04.00- CAUCAO DE TERCEIROS/LEILAO</v>
      </c>
      <c r="B169" s="10">
        <v>556477.88</v>
      </c>
      <c r="C169" s="10">
        <v>0</v>
      </c>
      <c r="D169" s="10">
        <v>556477.88</v>
      </c>
    </row>
    <row r="170" spans="1:4" x14ac:dyDescent="0.25">
      <c r="A170" s="2" t="str">
        <f>"2.1.4.04.98- Leilões"</f>
        <v>2.1.4.04.98- Leilões</v>
      </c>
      <c r="B170" s="10">
        <v>373057.34</v>
      </c>
      <c r="C170" s="10">
        <v>0</v>
      </c>
      <c r="D170" s="10">
        <v>373057.34</v>
      </c>
    </row>
    <row r="171" spans="1:4" x14ac:dyDescent="0.25">
      <c r="A171" s="2" t="str">
        <f>"2.1.4.04.99- Caucao de Terceiros"</f>
        <v>2.1.4.04.99- Caucao de Terceiros</v>
      </c>
      <c r="B171" s="10">
        <v>183420.54</v>
      </c>
      <c r="C171" s="10">
        <v>0</v>
      </c>
      <c r="D171" s="10">
        <v>183420.54</v>
      </c>
    </row>
    <row r="172" spans="1:4" x14ac:dyDescent="0.25">
      <c r="A172" s="2" t="str">
        <f>"2.1.6.00.00- OBRIGACOES VINC. A PAGAR-PAMEH"</f>
        <v>2.1.6.00.00- OBRIGACOES VINC. A PAGAR-PAMEH</v>
      </c>
      <c r="B172" s="10">
        <v>86615.62</v>
      </c>
      <c r="C172" s="10">
        <v>9096.17</v>
      </c>
      <c r="D172" s="10">
        <v>95711.79</v>
      </c>
    </row>
    <row r="173" spans="1:4" x14ac:dyDescent="0.25">
      <c r="A173" s="2" t="str">
        <f>"2.1.6.01.00- OBRIGACOES VINC. -PAMEH"</f>
        <v>2.1.6.01.00- OBRIGACOES VINC. -PAMEH</v>
      </c>
      <c r="B173" s="10">
        <v>86615.62</v>
      </c>
      <c r="C173" s="10">
        <v>9096.17</v>
      </c>
      <c r="D173" s="10">
        <v>95711.79</v>
      </c>
    </row>
    <row r="174" spans="1:4" x14ac:dyDescent="0.25">
      <c r="A174" s="2" t="str">
        <f>"2.1.6.01.01- Obrigacoes Vinculadas - PAMEH"</f>
        <v>2.1.6.01.01- Obrigacoes Vinculadas - PAMEH</v>
      </c>
      <c r="B174" s="10">
        <v>86615.62</v>
      </c>
      <c r="C174" s="10">
        <v>9096.17</v>
      </c>
      <c r="D174" s="10">
        <v>95711.79</v>
      </c>
    </row>
    <row r="175" spans="1:4" x14ac:dyDescent="0.25">
      <c r="A175" s="2" t="str">
        <f>"2.2.0.00.00- PASSIVO NAO CIRCULANTE"</f>
        <v>2.2.0.00.00- PASSIVO NAO CIRCULANTE</v>
      </c>
      <c r="B175" s="10">
        <v>39679406.43</v>
      </c>
      <c r="C175" s="10">
        <v>-338938.96</v>
      </c>
      <c r="D175" s="10">
        <v>39340467.469999999</v>
      </c>
    </row>
    <row r="176" spans="1:4" x14ac:dyDescent="0.25">
      <c r="A176" s="2" t="str">
        <f>"2.2.4.00.00- OUTRAS OBRIGACOES A LONGO PRAZO"</f>
        <v>2.2.4.00.00- OUTRAS OBRIGACOES A LONGO PRAZO</v>
      </c>
      <c r="B176" s="10">
        <v>35699721.869999997</v>
      </c>
      <c r="C176" s="10">
        <v>-124861.2</v>
      </c>
      <c r="D176" s="10">
        <v>35574860.670000002</v>
      </c>
    </row>
    <row r="177" spans="1:4" x14ac:dyDescent="0.25">
      <c r="A177" s="2" t="str">
        <f>"2.2.4.01.00- CREDORES DIVERSOS"</f>
        <v>2.2.4.01.00- CREDORES DIVERSOS</v>
      </c>
      <c r="B177" s="10">
        <v>15048557.66</v>
      </c>
      <c r="C177" s="10">
        <v>0</v>
      </c>
      <c r="D177" s="10">
        <v>15048557.66</v>
      </c>
    </row>
    <row r="178" spans="1:4" x14ac:dyDescent="0.25">
      <c r="A178" s="2" t="str">
        <f>"2.2.4.01.04- Provisão para Contingências Fiscais"</f>
        <v>2.2.4.01.04- Provisão para Contingências Fiscais</v>
      </c>
      <c r="B178" s="10">
        <v>14106702.720000001</v>
      </c>
      <c r="C178" s="10">
        <v>0</v>
      </c>
      <c r="D178" s="10">
        <v>14106702.720000001</v>
      </c>
    </row>
    <row r="179" spans="1:4" x14ac:dyDescent="0.25">
      <c r="A179" s="2" t="str">
        <f>"2.2.4.01.05- INSS Segurados"</f>
        <v>2.2.4.01.05- INSS Segurados</v>
      </c>
      <c r="B179" s="10">
        <v>941854.94</v>
      </c>
      <c r="C179" s="10">
        <v>0</v>
      </c>
      <c r="D179" s="10">
        <v>941854.94</v>
      </c>
    </row>
    <row r="180" spans="1:4" x14ac:dyDescent="0.25">
      <c r="A180" s="2" t="str">
        <f>"2.2.4.04.00- ACOES JUDICIAIS E TRABALHISTAS"</f>
        <v>2.2.4.04.00- ACOES JUDICIAIS E TRABALHISTAS</v>
      </c>
      <c r="B180" s="10">
        <v>20651164.210000001</v>
      </c>
      <c r="C180" s="10">
        <v>-124861.2</v>
      </c>
      <c r="D180" s="10">
        <v>20526303.010000002</v>
      </c>
    </row>
    <row r="181" spans="1:4" x14ac:dyDescent="0.25">
      <c r="A181" s="2" t="str">
        <f>"2.2.4.04.01- Acoes judiciais"</f>
        <v>2.2.4.04.01- Acoes judiciais</v>
      </c>
      <c r="B181" s="10">
        <v>16361887.84</v>
      </c>
      <c r="C181" s="10">
        <v>0</v>
      </c>
      <c r="D181" s="10">
        <v>16361887.84</v>
      </c>
    </row>
    <row r="182" spans="1:4" x14ac:dyDescent="0.25">
      <c r="A182" s="2" t="str">
        <f>"2.2.4.04.02- Acoes trabalhistas"</f>
        <v>2.2.4.04.02- Acoes trabalhistas</v>
      </c>
      <c r="B182" s="10">
        <v>4289276.37</v>
      </c>
      <c r="C182" s="10">
        <v>-124861.2</v>
      </c>
      <c r="D182" s="10">
        <v>4164415.17</v>
      </c>
    </row>
    <row r="183" spans="1:4" x14ac:dyDescent="0.25">
      <c r="A183" s="2" t="str">
        <f>"2.2.5.00.00- OBRIGACOES VINC.  AO PAMEH"</f>
        <v>2.2.5.00.00- OBRIGACOES VINC.  AO PAMEH</v>
      </c>
      <c r="B183" s="10">
        <v>3979684.56</v>
      </c>
      <c r="C183" s="10">
        <v>-214077.76</v>
      </c>
      <c r="D183" s="10">
        <v>3765606.8</v>
      </c>
    </row>
    <row r="184" spans="1:4" x14ac:dyDescent="0.25">
      <c r="A184" s="2" t="str">
        <f>"2.2.5.01.00- OBRIGACOES VINC.  AO PAMEH"</f>
        <v>2.2.5.01.00- OBRIGACOES VINC.  AO PAMEH</v>
      </c>
      <c r="B184" s="10">
        <v>3979684.56</v>
      </c>
      <c r="C184" s="10">
        <v>-214077.76</v>
      </c>
      <c r="D184" s="10">
        <v>3765606.8</v>
      </c>
    </row>
    <row r="185" spans="1:4" x14ac:dyDescent="0.25">
      <c r="A185" s="2" t="str">
        <f>"2.2.5.01.01- Resultado Exerc.Anteriores-PAMEH"</f>
        <v>2.2.5.01.01- Resultado Exerc.Anteriores-PAMEH</v>
      </c>
      <c r="B185" s="10">
        <v>3457128.18</v>
      </c>
      <c r="C185" s="10">
        <v>0</v>
      </c>
      <c r="D185" s="10">
        <v>3457128.18</v>
      </c>
    </row>
    <row r="186" spans="1:4" x14ac:dyDescent="0.25">
      <c r="A186" s="2" t="str">
        <f>"2.2.5.01.02- Resultado deste Exercicio-PAMEH"</f>
        <v>2.2.5.01.02- Resultado deste Exercicio-PAMEH</v>
      </c>
      <c r="B186" s="10">
        <v>-1067385.3899999999</v>
      </c>
      <c r="C186" s="10">
        <v>-214077.76</v>
      </c>
      <c r="D186" s="10">
        <v>-1281463.1499999999</v>
      </c>
    </row>
    <row r="187" spans="1:4" x14ac:dyDescent="0.25">
      <c r="A187" s="2" t="str">
        <f>"2.2.5.01.03- Ajuste Exercício Anterior - PAMEH"</f>
        <v>2.2.5.01.03- Ajuste Exercício Anterior - PAMEH</v>
      </c>
      <c r="B187" s="10">
        <v>1589941.77</v>
      </c>
      <c r="C187" s="10">
        <v>0</v>
      </c>
      <c r="D187" s="10">
        <v>1589941.77</v>
      </c>
    </row>
    <row r="188" spans="1:4" x14ac:dyDescent="0.25">
      <c r="A188" s="2" t="str">
        <f>"2.4.0.00.00- PATRIMONIO LIQUIDO"</f>
        <v>2.4.0.00.00- PATRIMONIO LIQUIDO</v>
      </c>
      <c r="B188" s="10">
        <v>-63962596.329999998</v>
      </c>
      <c r="C188" s="10">
        <v>1529.71</v>
      </c>
      <c r="D188" s="10">
        <v>-63961066.619999997</v>
      </c>
    </row>
    <row r="189" spans="1:4" x14ac:dyDescent="0.25">
      <c r="A189" s="2" t="str">
        <f>"2.4.1.00.00- CAPITAL SOCIAL"</f>
        <v>2.4.1.00.00- CAPITAL SOCIAL</v>
      </c>
      <c r="B189" s="10">
        <v>67418193.159999996</v>
      </c>
      <c r="C189" s="10">
        <v>0</v>
      </c>
      <c r="D189" s="10">
        <v>67418193.159999996</v>
      </c>
    </row>
    <row r="190" spans="1:4" x14ac:dyDescent="0.25">
      <c r="A190" s="2" t="str">
        <f>"2.4.1.02.00- CAPITAL REALIZADO"</f>
        <v>2.4.1.02.00- CAPITAL REALIZADO</v>
      </c>
      <c r="B190" s="10">
        <v>67418193.159999996</v>
      </c>
      <c r="C190" s="10">
        <v>0</v>
      </c>
      <c r="D190" s="10">
        <v>67418193.159999996</v>
      </c>
    </row>
    <row r="191" spans="1:4" x14ac:dyDescent="0.25">
      <c r="A191" s="2" t="str">
        <f>"2.4.1.02.01- Capital Subscrito"</f>
        <v>2.4.1.02.01- Capital Subscrito</v>
      </c>
      <c r="B191" s="10">
        <v>75000000</v>
      </c>
      <c r="C191" s="10">
        <v>0</v>
      </c>
      <c r="D191" s="10">
        <v>75000000</v>
      </c>
    </row>
    <row r="192" spans="1:4" x14ac:dyDescent="0.25">
      <c r="A192" s="2" t="str">
        <f>"2.4.1.02.04- Capital a Realizar"</f>
        <v>2.4.1.02.04- Capital a Realizar</v>
      </c>
      <c r="B192" s="10">
        <v>-7581806.8399999999</v>
      </c>
      <c r="C192" s="10">
        <v>0</v>
      </c>
      <c r="D192" s="10">
        <v>-7581806.8399999999</v>
      </c>
    </row>
    <row r="193" spans="1:4" x14ac:dyDescent="0.25">
      <c r="A193" s="2" t="str">
        <f>"2.4.3.00.00- RESULTADOS ACUMULADOS"</f>
        <v>2.4.3.00.00- RESULTADOS ACUMULADOS</v>
      </c>
      <c r="B193" s="10">
        <v>-131380789.48999999</v>
      </c>
      <c r="C193" s="10">
        <v>1529.71</v>
      </c>
      <c r="D193" s="10">
        <v>-131379259.78</v>
      </c>
    </row>
    <row r="194" spans="1:4" x14ac:dyDescent="0.25">
      <c r="A194" s="2" t="str">
        <f>"2.4.3.01.00- LUCROS/PREJUIZOS ACUMULADOS"</f>
        <v>2.4.3.01.00- LUCROS/PREJUIZOS ACUMULADOS</v>
      </c>
      <c r="B194" s="10">
        <v>-131380789.48999999</v>
      </c>
      <c r="C194" s="10">
        <v>1529.71</v>
      </c>
      <c r="D194" s="10">
        <v>-131379259.78</v>
      </c>
    </row>
    <row r="195" spans="1:4" x14ac:dyDescent="0.25">
      <c r="A195" s="2" t="str">
        <f>"2.4.3.01.01- Resultados de Exerc. Anteriores"</f>
        <v>2.4.3.01.01- Resultados de Exerc. Anteriores</v>
      </c>
      <c r="B195" s="10">
        <v>-131329846.40000001</v>
      </c>
      <c r="C195" s="10">
        <v>0</v>
      </c>
      <c r="D195" s="10">
        <v>-131329846.40000001</v>
      </c>
    </row>
    <row r="196" spans="1:4" x14ac:dyDescent="0.25">
      <c r="A196" s="2" t="str">
        <f>"2.4.3.01.03- Ajuste do Exercicio Anterior"</f>
        <v>2.4.3.01.03- Ajuste do Exercicio Anterior</v>
      </c>
      <c r="B196" s="10">
        <v>-50943.09</v>
      </c>
      <c r="C196" s="10">
        <v>1529.71</v>
      </c>
      <c r="D196" s="10">
        <v>-49413.38</v>
      </c>
    </row>
    <row r="197" spans="1:4" x14ac:dyDescent="0.25">
      <c r="A197" s="2" t="str">
        <f>""</f>
        <v/>
      </c>
      <c r="B197" s="3" t="str">
        <f>""</f>
        <v/>
      </c>
      <c r="C197" s="3" t="str">
        <f>""</f>
        <v/>
      </c>
      <c r="D197" s="3" t="str">
        <f>""</f>
        <v/>
      </c>
    </row>
    <row r="198" spans="1:4" x14ac:dyDescent="0.25">
      <c r="A198" s="2" t="str">
        <f>""</f>
        <v/>
      </c>
      <c r="B198" s="3" t="str">
        <f>""</f>
        <v/>
      </c>
      <c r="C198" s="3" t="str">
        <f>""</f>
        <v/>
      </c>
      <c r="D198" s="3" t="str">
        <f>""</f>
        <v/>
      </c>
    </row>
    <row r="199" spans="1:4" x14ac:dyDescent="0.25">
      <c r="A199" s="2" t="str">
        <f>""</f>
        <v/>
      </c>
      <c r="B199" s="3" t="str">
        <f>""</f>
        <v/>
      </c>
      <c r="C199" s="3" t="str">
        <f>""</f>
        <v/>
      </c>
      <c r="D199" s="3" t="str">
        <f>""</f>
        <v/>
      </c>
    </row>
    <row r="200" spans="1:4" x14ac:dyDescent="0.25">
      <c r="A200" s="2" t="str">
        <f>""</f>
        <v/>
      </c>
      <c r="B200" s="3" t="str">
        <f>""</f>
        <v/>
      </c>
      <c r="C200" s="3" t="str">
        <f>""</f>
        <v/>
      </c>
      <c r="D200" s="3" t="str">
        <f>""</f>
        <v/>
      </c>
    </row>
    <row r="201" spans="1:4" x14ac:dyDescent="0.25">
      <c r="A201" s="2" t="str">
        <f>""</f>
        <v/>
      </c>
      <c r="B201" s="3" t="str">
        <f>""</f>
        <v/>
      </c>
      <c r="C201" s="3" t="str">
        <f>""</f>
        <v/>
      </c>
      <c r="D201" s="3" t="str">
        <f>""</f>
        <v/>
      </c>
    </row>
    <row r="202" spans="1:4" x14ac:dyDescent="0.25">
      <c r="A202" s="2" t="str">
        <f>""</f>
        <v/>
      </c>
      <c r="B202" s="3" t="str">
        <f>""</f>
        <v/>
      </c>
      <c r="C202" s="3" t="str">
        <f>""</f>
        <v/>
      </c>
      <c r="D202" s="3" t="str">
        <f>""</f>
        <v/>
      </c>
    </row>
    <row r="203" spans="1:4" x14ac:dyDescent="0.25">
      <c r="A203" s="2" t="str">
        <f>""</f>
        <v/>
      </c>
      <c r="B203" s="3" t="str">
        <f>""</f>
        <v/>
      </c>
      <c r="C203" s="3" t="str">
        <f>""</f>
        <v/>
      </c>
      <c r="D203" s="3" t="str">
        <f>""</f>
        <v/>
      </c>
    </row>
    <row r="204" spans="1:4" x14ac:dyDescent="0.25">
      <c r="A204" s="2" t="str">
        <f>"DESPESAS"</f>
        <v>DESPESAS</v>
      </c>
      <c r="B204" s="3" t="str">
        <f>""</f>
        <v/>
      </c>
      <c r="C204" s="3" t="str">
        <f>""</f>
        <v/>
      </c>
      <c r="D204" s="3" t="str">
        <f>""</f>
        <v/>
      </c>
    </row>
    <row r="205" spans="1:4" x14ac:dyDescent="0.25">
      <c r="A205" s="2" t="str">
        <f>"3.0.0.00.00- DESPESAS"</f>
        <v>3.0.0.00.00- DESPESAS</v>
      </c>
      <c r="B205" s="10">
        <v>89325786.730000004</v>
      </c>
      <c r="C205" s="10">
        <v>12436233.65</v>
      </c>
      <c r="D205" s="10">
        <v>101762020.38</v>
      </c>
    </row>
    <row r="206" spans="1:4" x14ac:dyDescent="0.25">
      <c r="A206" s="2" t="str">
        <f>"3.1.0.00.00- DESPESAS OPERACIONAIS"</f>
        <v>3.1.0.00.00- DESPESAS OPERACIONAIS</v>
      </c>
      <c r="B206" s="10">
        <v>89325786.730000004</v>
      </c>
      <c r="C206" s="10">
        <v>12436233.65</v>
      </c>
      <c r="D206" s="10">
        <v>101762020.38</v>
      </c>
    </row>
    <row r="207" spans="1:4" x14ac:dyDescent="0.25">
      <c r="A207" s="2" t="str">
        <f>"3.1.1.00.00- SALARIOS ADICIONAIS E HONORARIOS"</f>
        <v>3.1.1.00.00- SALARIOS ADICIONAIS E HONORARIOS</v>
      </c>
      <c r="B207" s="10">
        <v>44471118.109999999</v>
      </c>
      <c r="C207" s="10">
        <v>6105643.7400000002</v>
      </c>
      <c r="D207" s="10">
        <v>50576761.850000001</v>
      </c>
    </row>
    <row r="208" spans="1:4" x14ac:dyDescent="0.25">
      <c r="A208" s="2" t="str">
        <f>"3.1.1.00.01- Honorarios diretoria"</f>
        <v>3.1.1.00.01- Honorarios diretoria</v>
      </c>
      <c r="B208" s="10">
        <v>525642.16</v>
      </c>
      <c r="C208" s="10">
        <v>77405.16</v>
      </c>
      <c r="D208" s="10">
        <v>603047.31999999995</v>
      </c>
    </row>
    <row r="209" spans="1:4" x14ac:dyDescent="0.25">
      <c r="A209" s="2" t="str">
        <f>"3.1.1.00.02- Honorarios conselho fiscal"</f>
        <v>3.1.1.00.02- Honorarios conselho fiscal</v>
      </c>
      <c r="B209" s="10">
        <v>37189.32</v>
      </c>
      <c r="C209" s="10">
        <v>5311.5</v>
      </c>
      <c r="D209" s="10">
        <v>42500.82</v>
      </c>
    </row>
    <row r="210" spans="1:4" x14ac:dyDescent="0.25">
      <c r="A210" s="2" t="str">
        <f>"3.1.1.00.03- Honorarios cons. administracao"</f>
        <v>3.1.1.00.03- Honorarios cons. administracao</v>
      </c>
      <c r="B210" s="10">
        <v>74313.570000000007</v>
      </c>
      <c r="C210" s="10">
        <v>10613.71</v>
      </c>
      <c r="D210" s="10">
        <v>84927.28</v>
      </c>
    </row>
    <row r="211" spans="1:4" x14ac:dyDescent="0.25">
      <c r="A211" s="2" t="str">
        <f>"3.1.1.00.04- Salarios e adicionais"</f>
        <v>3.1.1.00.04- Salarios e adicionais</v>
      </c>
      <c r="B211" s="10">
        <v>33285195.760000002</v>
      </c>
      <c r="C211" s="10">
        <v>4899364.21</v>
      </c>
      <c r="D211" s="10">
        <v>38184559.969999999</v>
      </c>
    </row>
    <row r="212" spans="1:4" x14ac:dyDescent="0.25">
      <c r="A212" s="2" t="str">
        <f>"3.1.1.00.05- Ferias e abono pecuniario"</f>
        <v>3.1.1.00.05- Ferias e abono pecuniario</v>
      </c>
      <c r="B212" s="10">
        <v>5288108.04</v>
      </c>
      <c r="C212" s="10">
        <v>653461.18000000005</v>
      </c>
      <c r="D212" s="10">
        <v>5941569.2199999997</v>
      </c>
    </row>
    <row r="213" spans="1:4" x14ac:dyDescent="0.25">
      <c r="A213" s="2" t="str">
        <f>"3.1.1.00.06- Decimo terceiro salario"</f>
        <v>3.1.1.00.06- Decimo terceiro salario</v>
      </c>
      <c r="B213" s="10">
        <v>3165072.26</v>
      </c>
      <c r="C213" s="10">
        <v>443990.95</v>
      </c>
      <c r="D213" s="10">
        <v>3609063.21</v>
      </c>
    </row>
    <row r="214" spans="1:4" x14ac:dyDescent="0.25">
      <c r="A214" s="2" t="str">
        <f>"3.1.1.00.07- Indenizacoes trabalhistas"</f>
        <v>3.1.1.00.07- Indenizacoes trabalhistas</v>
      </c>
      <c r="B214" s="10">
        <v>29858.44</v>
      </c>
      <c r="C214" s="10">
        <v>3270.53</v>
      </c>
      <c r="D214" s="10">
        <v>33128.97</v>
      </c>
    </row>
    <row r="215" spans="1:4" x14ac:dyDescent="0.25">
      <c r="A215" s="2" t="str">
        <f>"3.1.1.00.08- Bolsas de estagiario"</f>
        <v>3.1.1.00.08- Bolsas de estagiario</v>
      </c>
      <c r="B215" s="10">
        <v>103909.13</v>
      </c>
      <c r="C215" s="10">
        <v>12226.5</v>
      </c>
      <c r="D215" s="10">
        <v>116135.63</v>
      </c>
    </row>
    <row r="216" spans="1:4" x14ac:dyDescent="0.25">
      <c r="A216" s="2" t="str">
        <f>"3.1.1.00.10- Indenizações trabalhistas - ACT"</f>
        <v>3.1.1.00.10- Indenizações trabalhistas - ACT</v>
      </c>
      <c r="B216" s="10">
        <v>1961829.43</v>
      </c>
      <c r="C216" s="10">
        <v>0</v>
      </c>
      <c r="D216" s="10">
        <v>1961829.43</v>
      </c>
    </row>
    <row r="217" spans="1:4" x14ac:dyDescent="0.25">
      <c r="A217" s="2" t="str">
        <f>"3.1.2.01.00- ENCARGOS SOCIAIS"</f>
        <v>3.1.2.01.00- ENCARGOS SOCIAIS</v>
      </c>
      <c r="B217" s="10">
        <v>20420959</v>
      </c>
      <c r="C217" s="10">
        <v>2538888.77</v>
      </c>
      <c r="D217" s="10">
        <v>22959847.77</v>
      </c>
    </row>
    <row r="218" spans="1:4" x14ac:dyDescent="0.25">
      <c r="A218" s="2" t="str">
        <f>"3.1.2.01.01- INSS"</f>
        <v>3.1.2.01.01- INSS</v>
      </c>
      <c r="B218" s="10">
        <v>15908821.390000001</v>
      </c>
      <c r="C218" s="10">
        <v>1981943.25</v>
      </c>
      <c r="D218" s="10">
        <v>17890764.640000001</v>
      </c>
    </row>
    <row r="219" spans="1:4" x14ac:dyDescent="0.25">
      <c r="A219" s="2" t="str">
        <f>"3.1.2.01.02- FGTS"</f>
        <v>3.1.2.01.02- FGTS</v>
      </c>
      <c r="B219" s="10">
        <v>4512137.6100000003</v>
      </c>
      <c r="C219" s="10">
        <v>556945.52</v>
      </c>
      <c r="D219" s="10">
        <v>5069083.13</v>
      </c>
    </row>
    <row r="220" spans="1:4" x14ac:dyDescent="0.25">
      <c r="A220" s="2" t="str">
        <f>"3.1.2.02.00- OUTRAS DESPESAS COM PESSOAL"</f>
        <v>3.1.2.02.00- OUTRAS DESPESAS COM PESSOAL</v>
      </c>
      <c r="B220" s="10">
        <v>7915087.7400000002</v>
      </c>
      <c r="C220" s="10">
        <v>1412291.44</v>
      </c>
      <c r="D220" s="10">
        <v>9327379.1799999997</v>
      </c>
    </row>
    <row r="221" spans="1:4" x14ac:dyDescent="0.25">
      <c r="A221" s="2" t="str">
        <f>"3.1.2.02.01- Seguros de Vida"</f>
        <v>3.1.2.02.01- Seguros de Vida</v>
      </c>
      <c r="B221" s="10">
        <v>99397.4</v>
      </c>
      <c r="C221" s="10">
        <v>23472.82</v>
      </c>
      <c r="D221" s="10">
        <v>122870.22</v>
      </c>
    </row>
    <row r="222" spans="1:4" x14ac:dyDescent="0.25">
      <c r="A222" s="2" t="str">
        <f>"3.1.2.02.02- Ass. Medica Odontologica"</f>
        <v>3.1.2.02.02- Ass. Medica Odontologica</v>
      </c>
      <c r="B222" s="10">
        <v>2045481.23</v>
      </c>
      <c r="C222" s="10">
        <v>409681.53</v>
      </c>
      <c r="D222" s="10">
        <v>2455162.7599999998</v>
      </c>
    </row>
    <row r="223" spans="1:4" x14ac:dyDescent="0.25">
      <c r="A223" s="2" t="str">
        <f>"3.1.2.02.03- Vale Transporte"</f>
        <v>3.1.2.02.03- Vale Transporte</v>
      </c>
      <c r="B223" s="10">
        <v>724282.21</v>
      </c>
      <c r="C223" s="10">
        <v>113404.54</v>
      </c>
      <c r="D223" s="10">
        <v>837686.75</v>
      </c>
    </row>
    <row r="224" spans="1:4" x14ac:dyDescent="0.25">
      <c r="A224" s="2" t="str">
        <f>"3.1.2.02.04- Vale Refeicao/Alimentacao"</f>
        <v>3.1.2.02.04- Vale Refeicao/Alimentacao</v>
      </c>
      <c r="B224" s="10">
        <v>4821195.8499999996</v>
      </c>
      <c r="C224" s="10">
        <v>817260.03</v>
      </c>
      <c r="D224" s="10">
        <v>5638455.8799999999</v>
      </c>
    </row>
    <row r="225" spans="1:4" x14ac:dyDescent="0.25">
      <c r="A225" s="2" t="str">
        <f>"3.1.2.02.05- Compl. Auxilio Doenca"</f>
        <v>3.1.2.02.05- Compl. Auxilio Doenca</v>
      </c>
      <c r="B225" s="10">
        <v>65119.25</v>
      </c>
      <c r="C225" s="10">
        <v>25116.36</v>
      </c>
      <c r="D225" s="10">
        <v>90235.61</v>
      </c>
    </row>
    <row r="226" spans="1:4" x14ac:dyDescent="0.25">
      <c r="A226" s="2" t="str">
        <f>"3.1.2.02.06- Cursos e Treinamentos"</f>
        <v>3.1.2.02.06- Cursos e Treinamentos</v>
      </c>
      <c r="B226" s="10">
        <v>13302</v>
      </c>
      <c r="C226" s="10">
        <v>853</v>
      </c>
      <c r="D226" s="10">
        <v>14155</v>
      </c>
    </row>
    <row r="227" spans="1:4" x14ac:dyDescent="0.25">
      <c r="A227" s="2" t="str">
        <f>"3.1.2.02.07- Auxilio Creche"</f>
        <v>3.1.2.02.07- Auxilio Creche</v>
      </c>
      <c r="B227" s="10">
        <v>146309.79999999999</v>
      </c>
      <c r="C227" s="10">
        <v>22503.16</v>
      </c>
      <c r="D227" s="10">
        <v>168812.96</v>
      </c>
    </row>
    <row r="228" spans="1:4" x14ac:dyDescent="0.25">
      <c r="A228" s="2" t="str">
        <f>"3.1.3.00.00- MATERIAIS"</f>
        <v>3.1.3.00.00- MATERIAIS</v>
      </c>
      <c r="B228" s="10">
        <v>499878.41</v>
      </c>
      <c r="C228" s="10">
        <v>76742.59</v>
      </c>
      <c r="D228" s="10">
        <v>576621</v>
      </c>
    </row>
    <row r="229" spans="1:4" x14ac:dyDescent="0.25">
      <c r="A229" s="2" t="str">
        <f>"3.1.3.00.01- Bens de natureza permanente"</f>
        <v>3.1.3.00.01- Bens de natureza permanente</v>
      </c>
      <c r="B229" s="10">
        <v>339.4</v>
      </c>
      <c r="C229" s="10">
        <v>0</v>
      </c>
      <c r="D229" s="10">
        <v>339.4</v>
      </c>
    </row>
    <row r="230" spans="1:4" x14ac:dyDescent="0.25">
      <c r="A230" s="2" t="str">
        <f>"3.1.3.00.05- Placas/acessorios/mat.fixacao"</f>
        <v>3.1.3.00.05- Placas/acessorios/mat.fixacao</v>
      </c>
      <c r="B230" s="10">
        <v>12705</v>
      </c>
      <c r="C230" s="10">
        <v>0</v>
      </c>
      <c r="D230" s="10">
        <v>12705</v>
      </c>
    </row>
    <row r="231" spans="1:4" x14ac:dyDescent="0.25">
      <c r="A231" s="2" t="str">
        <f>"3.1.3.00.08- Material seguranca e uniformes"</f>
        <v>3.1.3.00.08- Material seguranca e uniformes</v>
      </c>
      <c r="B231" s="10">
        <v>2056.39</v>
      </c>
      <c r="C231" s="10">
        <v>290.5</v>
      </c>
      <c r="D231" s="10">
        <v>2346.89</v>
      </c>
    </row>
    <row r="232" spans="1:4" x14ac:dyDescent="0.25">
      <c r="A232" s="2" t="str">
        <f>"3.1.3.00.09- Material limp/conserv/copa/cozin"</f>
        <v>3.1.3.00.09- Material limp/conserv/copa/cozin</v>
      </c>
      <c r="B232" s="10">
        <v>92914.12</v>
      </c>
      <c r="C232" s="10">
        <v>14034.28</v>
      </c>
      <c r="D232" s="10">
        <v>106948.4</v>
      </c>
    </row>
    <row r="233" spans="1:4" x14ac:dyDescent="0.25">
      <c r="A233" s="2" t="str">
        <f>"3.1.3.00.10- Impressos e material de escritorio"</f>
        <v>3.1.3.00.10- Impressos e material de escritorio</v>
      </c>
      <c r="B233" s="10">
        <v>107326.87</v>
      </c>
      <c r="C233" s="10">
        <v>21296.07</v>
      </c>
      <c r="D233" s="10">
        <v>128622.94</v>
      </c>
    </row>
    <row r="234" spans="1:4" x14ac:dyDescent="0.25">
      <c r="A234" s="2" t="str">
        <f>"3.1.3.00.11- Materiais manut. inst. prediais"</f>
        <v>3.1.3.00.11- Materiais manut. inst. prediais</v>
      </c>
      <c r="B234" s="10">
        <v>63062.01</v>
      </c>
      <c r="C234" s="10">
        <v>1551.64</v>
      </c>
      <c r="D234" s="10">
        <v>64613.65</v>
      </c>
    </row>
    <row r="235" spans="1:4" x14ac:dyDescent="0.25">
      <c r="A235" s="2" t="str">
        <f>"3.1.3.00.12- Carnes estacionamento rotativo"</f>
        <v>3.1.3.00.12- Carnes estacionamento rotativo</v>
      </c>
      <c r="B235" s="10">
        <v>193950.9</v>
      </c>
      <c r="C235" s="10">
        <v>34684.65</v>
      </c>
      <c r="D235" s="10">
        <v>228635.55</v>
      </c>
    </row>
    <row r="236" spans="1:4" x14ac:dyDescent="0.25">
      <c r="A236" s="2" t="str">
        <f>"3.1.3.00.15- Materiais e supriment informatic"</f>
        <v>3.1.3.00.15- Materiais e supriment informatic</v>
      </c>
      <c r="B236" s="10">
        <v>20700.71</v>
      </c>
      <c r="C236" s="10">
        <v>2200.13</v>
      </c>
      <c r="D236" s="10">
        <v>22900.84</v>
      </c>
    </row>
    <row r="237" spans="1:4" x14ac:dyDescent="0.25">
      <c r="A237" s="2" t="str">
        <f>"3.1.3.00.17- Comb./lubrificantes"</f>
        <v>3.1.3.00.17- Comb./lubrificantes</v>
      </c>
      <c r="B237" s="10">
        <v>191.11</v>
      </c>
      <c r="C237" s="10">
        <v>0</v>
      </c>
      <c r="D237" s="10">
        <v>191.11</v>
      </c>
    </row>
    <row r="238" spans="1:4" x14ac:dyDescent="0.25">
      <c r="A238" s="2" t="str">
        <f>"3.1.3.00.18- Livros/jornais/rev./publicacoes"</f>
        <v>3.1.3.00.18- Livros/jornais/rev./publicacoes</v>
      </c>
      <c r="B238" s="10">
        <v>1360.8</v>
      </c>
      <c r="C238" s="10">
        <v>0</v>
      </c>
      <c r="D238" s="10">
        <v>1360.8</v>
      </c>
    </row>
    <row r="239" spans="1:4" x14ac:dyDescent="0.25">
      <c r="A239" s="2" t="str">
        <f>"3.1.3.00.19- Mat.man.cons.veiculos"</f>
        <v>3.1.3.00.19- Mat.man.cons.veiculos</v>
      </c>
      <c r="B239" s="10">
        <v>364</v>
      </c>
      <c r="C239" s="10">
        <v>0</v>
      </c>
      <c r="D239" s="10">
        <v>364</v>
      </c>
    </row>
    <row r="240" spans="1:4" x14ac:dyDescent="0.25">
      <c r="A240" s="2" t="str">
        <f>"3.1.3.00.99- Outros materiais"</f>
        <v>3.1.3.00.99- Outros materiais</v>
      </c>
      <c r="B240" s="10">
        <v>4907.1000000000004</v>
      </c>
      <c r="C240" s="10">
        <v>2685.32</v>
      </c>
      <c r="D240" s="10">
        <v>7592.42</v>
      </c>
    </row>
    <row r="241" spans="1:4" x14ac:dyDescent="0.25">
      <c r="A241" s="2" t="str">
        <f>"3.1.4.00.00- SERVICOS PRESTADOS POR TERCEIROS"</f>
        <v>3.1.4.00.00- SERVICOS PRESTADOS POR TERCEIROS</v>
      </c>
      <c r="B241" s="10">
        <v>12572634.82</v>
      </c>
      <c r="C241" s="10">
        <v>1800851.77</v>
      </c>
      <c r="D241" s="10">
        <v>14373486.59</v>
      </c>
    </row>
    <row r="242" spans="1:4" x14ac:dyDescent="0.25">
      <c r="A242" s="2" t="str">
        <f>"3.1.4.00.01- Consultoria"</f>
        <v>3.1.4.00.01- Consultoria</v>
      </c>
      <c r="B242" s="10">
        <v>26600</v>
      </c>
      <c r="C242" s="10">
        <v>0</v>
      </c>
      <c r="D242" s="10">
        <v>26600</v>
      </c>
    </row>
    <row r="243" spans="1:4" x14ac:dyDescent="0.25">
      <c r="A243" s="2" t="str">
        <f>"3.1.4.00.03- Locacao de equipamentos"</f>
        <v>3.1.4.00.03- Locacao de equipamentos</v>
      </c>
      <c r="B243" s="10">
        <v>46939.9</v>
      </c>
      <c r="C243" s="10">
        <v>6705.7</v>
      </c>
      <c r="D243" s="10">
        <v>53645.599999999999</v>
      </c>
    </row>
    <row r="244" spans="1:4" x14ac:dyDescent="0.25">
      <c r="A244" s="2" t="str">
        <f>"3.1.4.00.08- Servicos de auditoria"</f>
        <v>3.1.4.00.08- Servicos de auditoria</v>
      </c>
      <c r="B244" s="10">
        <v>16333.28</v>
      </c>
      <c r="C244" s="10">
        <v>0</v>
      </c>
      <c r="D244" s="10">
        <v>16333.28</v>
      </c>
    </row>
    <row r="245" spans="1:4" x14ac:dyDescent="0.25">
      <c r="A245" s="2" t="str">
        <f>"3.1.4.00.10- Mao de obra contratada"</f>
        <v>3.1.4.00.10- Mao de obra contratada</v>
      </c>
      <c r="B245" s="10">
        <v>798628.09</v>
      </c>
      <c r="C245" s="10">
        <v>22800.19</v>
      </c>
      <c r="D245" s="10">
        <v>821428.28</v>
      </c>
    </row>
    <row r="246" spans="1:4" x14ac:dyDescent="0.25">
      <c r="A246" s="2" t="str">
        <f>"3.1.4.00.13- Publicidade e divulgacao"</f>
        <v>3.1.4.00.13- Publicidade e divulgacao</v>
      </c>
      <c r="B246" s="10">
        <v>105103.66</v>
      </c>
      <c r="C246" s="10">
        <v>28334.95</v>
      </c>
      <c r="D246" s="10">
        <v>133438.60999999999</v>
      </c>
    </row>
    <row r="247" spans="1:4" x14ac:dyDescent="0.25">
      <c r="A247" s="2" t="str">
        <f>"3.1.4.00.14- Informatica-serv. e/ou locacao"</f>
        <v>3.1.4.00.14- Informatica-serv. e/ou locacao</v>
      </c>
      <c r="B247" s="10">
        <v>701418.52</v>
      </c>
      <c r="C247" s="10">
        <v>303358.65999999997</v>
      </c>
      <c r="D247" s="10">
        <v>1004777.18</v>
      </c>
    </row>
    <row r="248" spans="1:4" x14ac:dyDescent="0.25">
      <c r="A248" s="2" t="str">
        <f>"3.1.4.00.15- Outros serv. prestados - PF"</f>
        <v>3.1.4.00.15- Outros serv. prestados - PF</v>
      </c>
      <c r="B248" s="10">
        <v>87274.41</v>
      </c>
      <c r="C248" s="10">
        <v>7400.53</v>
      </c>
      <c r="D248" s="10">
        <v>94674.94</v>
      </c>
    </row>
    <row r="249" spans="1:4" x14ac:dyDescent="0.25">
      <c r="A249" s="2" t="str">
        <f>"3.1.4.00.16- Outros serv. Prestados - PJ"</f>
        <v>3.1.4.00.16- Outros serv. Prestados - PJ</v>
      </c>
      <c r="B249" s="10">
        <v>164080.53</v>
      </c>
      <c r="C249" s="10">
        <v>13509.62</v>
      </c>
      <c r="D249" s="10">
        <v>177590.15</v>
      </c>
    </row>
    <row r="250" spans="1:4" x14ac:dyDescent="0.25">
      <c r="A250" s="2" t="str">
        <f>"3.1.4.00.17- Servicos postais"</f>
        <v>3.1.4.00.17- Servicos postais</v>
      </c>
      <c r="B250" s="10">
        <v>32044.98</v>
      </c>
      <c r="C250" s="10">
        <v>4182.46</v>
      </c>
      <c r="D250" s="10">
        <v>36227.440000000002</v>
      </c>
    </row>
    <row r="251" spans="1:4" x14ac:dyDescent="0.25">
      <c r="A251" s="2" t="str">
        <f>"3.1.4.00.18- INSS s/servicos de terceiros"</f>
        <v>3.1.4.00.18- INSS s/servicos de terceiros</v>
      </c>
      <c r="B251" s="10">
        <v>17850.830000000002</v>
      </c>
      <c r="C251" s="10">
        <v>2018.82</v>
      </c>
      <c r="D251" s="10">
        <v>19869.650000000001</v>
      </c>
    </row>
    <row r="252" spans="1:4" x14ac:dyDescent="0.25">
      <c r="A252" s="2" t="str">
        <f>"3.1.4.00.19- Manut. imoveis/instal/equip.oper"</f>
        <v>3.1.4.00.19- Manut. imoveis/instal/equip.oper</v>
      </c>
      <c r="B252" s="10">
        <v>328254.46999999997</v>
      </c>
      <c r="C252" s="10">
        <v>30628.55</v>
      </c>
      <c r="D252" s="10">
        <v>358883.02</v>
      </c>
    </row>
    <row r="253" spans="1:4" x14ac:dyDescent="0.25">
      <c r="A253" s="2" t="str">
        <f>"3.1.4.00.21- Manut. moveis e equip. Escritorio"</f>
        <v>3.1.4.00.21- Manut. moveis e equip. Escritorio</v>
      </c>
      <c r="B253" s="10">
        <v>40667.08</v>
      </c>
      <c r="C253" s="10">
        <v>0</v>
      </c>
      <c r="D253" s="10">
        <v>40667.08</v>
      </c>
    </row>
    <row r="254" spans="1:4" x14ac:dyDescent="0.25">
      <c r="A254" s="2" t="str">
        <f>"3.1.4.00.24- Loc.serv.mensageiro"</f>
        <v>3.1.4.00.24- Loc.serv.mensageiro</v>
      </c>
      <c r="B254" s="10">
        <v>34838.81</v>
      </c>
      <c r="C254" s="10">
        <v>0</v>
      </c>
      <c r="D254" s="10">
        <v>34838.81</v>
      </c>
    </row>
    <row r="255" spans="1:4" x14ac:dyDescent="0.25">
      <c r="A255" s="2" t="str">
        <f>"3.1.4.00.26- Serv.limp.conserv."</f>
        <v>3.1.4.00.26- Serv.limp.conserv.</v>
      </c>
      <c r="B255" s="10">
        <v>10205161.890000001</v>
      </c>
      <c r="C255" s="10">
        <v>1356770.37</v>
      </c>
      <c r="D255" s="10">
        <v>11561932.26</v>
      </c>
    </row>
    <row r="256" spans="1:4" x14ac:dyDescent="0.25">
      <c r="A256" s="2" t="str">
        <f>"3.1.4.00.32- Vale transporte"</f>
        <v>3.1.4.00.32- Vale transporte</v>
      </c>
      <c r="B256" s="10">
        <v>929.63</v>
      </c>
      <c r="C256" s="10">
        <v>0</v>
      </c>
      <c r="D256" s="10">
        <v>929.63</v>
      </c>
    </row>
    <row r="257" spans="1:4" x14ac:dyDescent="0.25">
      <c r="A257" s="2" t="str">
        <f>"3.1.4.00.33- Vale Ref./Al.terceir."</f>
        <v>3.1.4.00.33- Vale Ref./Al.terceir.</v>
      </c>
      <c r="B257" s="10">
        <v>2454.6999999999998</v>
      </c>
      <c r="C257" s="10">
        <v>0</v>
      </c>
      <c r="D257" s="10">
        <v>2454.6999999999998</v>
      </c>
    </row>
    <row r="258" spans="1:4" x14ac:dyDescent="0.25">
      <c r="A258" s="2" t="str">
        <f>"3.1.4.00.34- Comissao s/venda rotativo"</f>
        <v>3.1.4.00.34- Comissao s/venda rotativo</v>
      </c>
      <c r="B258" s="10">
        <v>429394.58</v>
      </c>
      <c r="C258" s="10">
        <v>57620.160000000003</v>
      </c>
      <c r="D258" s="10">
        <v>487014.74</v>
      </c>
    </row>
    <row r="259" spans="1:4" x14ac:dyDescent="0.25">
      <c r="A259" s="2" t="str">
        <f>"3.1.4.00.36- (-) Desconto ISSQN conf Lei 9145 serv. P"</f>
        <v>3.1.4.00.36- (-) Desconto ISSQN conf Lei 9145 serv. P</v>
      </c>
      <c r="B259" s="10">
        <v>-567868.12</v>
      </c>
      <c r="C259" s="10">
        <v>-83410.559999999998</v>
      </c>
      <c r="D259" s="10">
        <v>-651278.68000000005</v>
      </c>
    </row>
    <row r="260" spans="1:4" x14ac:dyDescent="0.25">
      <c r="A260" s="2" t="str">
        <f>"3.1.4.00.39- Convênio Guarda Municipal"</f>
        <v>3.1.4.00.39- Convênio Guarda Municipal</v>
      </c>
      <c r="B260" s="10">
        <v>102527.58</v>
      </c>
      <c r="C260" s="10">
        <v>50932.32</v>
      </c>
      <c r="D260" s="10">
        <v>153459.9</v>
      </c>
    </row>
    <row r="261" spans="1:4" x14ac:dyDescent="0.25">
      <c r="A261" s="2" t="str">
        <f>"3.1.5.00.00- TARIFAS PUBLICAS"</f>
        <v>3.1.5.00.00- TARIFAS PUBLICAS</v>
      </c>
      <c r="B261" s="10">
        <v>953687.41</v>
      </c>
      <c r="C261" s="10">
        <v>126833.21</v>
      </c>
      <c r="D261" s="10">
        <v>1080520.6200000001</v>
      </c>
    </row>
    <row r="262" spans="1:4" x14ac:dyDescent="0.25">
      <c r="A262" s="2" t="str">
        <f>"3.1.5.00.02- Energia eletrica"</f>
        <v>3.1.5.00.02- Energia eletrica</v>
      </c>
      <c r="B262" s="10">
        <v>732049.56</v>
      </c>
      <c r="C262" s="10">
        <v>98557.84</v>
      </c>
      <c r="D262" s="10">
        <v>830607.4</v>
      </c>
    </row>
    <row r="263" spans="1:4" x14ac:dyDescent="0.25">
      <c r="A263" s="2" t="str">
        <f>"3.1.5.00.03- Telefone"</f>
        <v>3.1.5.00.03- Telefone</v>
      </c>
      <c r="B263" s="10">
        <v>221637.85</v>
      </c>
      <c r="C263" s="10">
        <v>28275.37</v>
      </c>
      <c r="D263" s="10">
        <v>249913.22</v>
      </c>
    </row>
    <row r="264" spans="1:4" x14ac:dyDescent="0.25">
      <c r="A264" s="2" t="str">
        <f>"3.1.6.00.00- DESPESAS TRIBUTARIAS"</f>
        <v>3.1.6.00.00- DESPESAS TRIBUTARIAS</v>
      </c>
      <c r="B264" s="10">
        <v>1625209.19</v>
      </c>
      <c r="C264" s="10">
        <v>257829.09</v>
      </c>
      <c r="D264" s="10">
        <v>1883038.28</v>
      </c>
    </row>
    <row r="265" spans="1:4" x14ac:dyDescent="0.25">
      <c r="A265" s="2" t="str">
        <f>"3.1.6.00.01- Taxas legais"</f>
        <v>3.1.6.00.01- Taxas legais</v>
      </c>
      <c r="B265" s="10">
        <v>20835.310000000001</v>
      </c>
      <c r="C265" s="10">
        <v>25.56</v>
      </c>
      <c r="D265" s="10">
        <v>20860.87</v>
      </c>
    </row>
    <row r="266" spans="1:4" x14ac:dyDescent="0.25">
      <c r="A266" s="2" t="str">
        <f>"3.1.6.00.03- IOF"</f>
        <v>3.1.6.00.03- IOF</v>
      </c>
      <c r="B266" s="10">
        <v>1100.01</v>
      </c>
      <c r="C266" s="10">
        <v>0</v>
      </c>
      <c r="D266" s="10">
        <v>1100.01</v>
      </c>
    </row>
    <row r="267" spans="1:4" x14ac:dyDescent="0.25">
      <c r="A267" s="2" t="str">
        <f>"3.1.6.00.06- PIS"</f>
        <v>3.1.6.00.06- PIS</v>
      </c>
      <c r="B267" s="10">
        <v>259635.05</v>
      </c>
      <c r="C267" s="10">
        <v>44234.239999999998</v>
      </c>
      <c r="D267" s="10">
        <v>303869.28999999998</v>
      </c>
    </row>
    <row r="268" spans="1:4" x14ac:dyDescent="0.25">
      <c r="A268" s="2" t="str">
        <f>"3.1.6.00.07- COFINS"</f>
        <v>3.1.6.00.07- COFINS</v>
      </c>
      <c r="B268" s="10">
        <v>1195894.8400000001</v>
      </c>
      <c r="C268" s="10">
        <v>203745.58</v>
      </c>
      <c r="D268" s="10">
        <v>1399640.42</v>
      </c>
    </row>
    <row r="269" spans="1:4" x14ac:dyDescent="0.25">
      <c r="A269" s="2" t="str">
        <f>"3.1.6.00.08- Multas indedutiveis"</f>
        <v>3.1.6.00.08- Multas indedutiveis</v>
      </c>
      <c r="B269" s="10">
        <v>26966.39</v>
      </c>
      <c r="C269" s="10">
        <v>0</v>
      </c>
      <c r="D269" s="10">
        <v>26966.39</v>
      </c>
    </row>
    <row r="270" spans="1:4" x14ac:dyDescent="0.25">
      <c r="A270" s="2" t="str">
        <f>"3.1.6.00.10- ISS s/faturamento"</f>
        <v>3.1.6.00.10- ISS s/faturamento</v>
      </c>
      <c r="B270" s="10">
        <v>13852.92</v>
      </c>
      <c r="C270" s="10">
        <v>2650.12</v>
      </c>
      <c r="D270" s="10">
        <v>16503.04</v>
      </c>
    </row>
    <row r="271" spans="1:4" x14ac:dyDescent="0.25">
      <c r="A271" s="2" t="str">
        <f>"3.1.6.00.11- Custas/despesas judiciais"</f>
        <v>3.1.6.00.11- Custas/despesas judiciais</v>
      </c>
      <c r="B271" s="10">
        <v>60</v>
      </c>
      <c r="C271" s="10">
        <v>0</v>
      </c>
      <c r="D271" s="10">
        <v>60</v>
      </c>
    </row>
    <row r="272" spans="1:4" x14ac:dyDescent="0.25">
      <c r="A272" s="2" t="str">
        <f>"3.1.6.00.14- Contrib.entid.classe"</f>
        <v>3.1.6.00.14- Contrib.entid.classe</v>
      </c>
      <c r="B272" s="10">
        <v>81230.91</v>
      </c>
      <c r="C272" s="10">
        <v>81.53</v>
      </c>
      <c r="D272" s="10">
        <v>81312.44</v>
      </c>
    </row>
    <row r="273" spans="1:4" x14ac:dyDescent="0.25">
      <c r="A273" s="2" t="str">
        <f>"3.1.6.00.15- INSS Serv.terceiros"</f>
        <v>3.1.6.00.15- INSS Serv.terceiros</v>
      </c>
      <c r="B273" s="10">
        <v>11236.83</v>
      </c>
      <c r="C273" s="10">
        <v>3298.12</v>
      </c>
      <c r="D273" s="10">
        <v>14534.95</v>
      </c>
    </row>
    <row r="274" spans="1:4" x14ac:dyDescent="0.25">
      <c r="A274" s="2" t="str">
        <f>"3.1.6.00.17- PIS s/ receitas financeiras"</f>
        <v>3.1.6.00.17- PIS s/ receitas financeiras</v>
      </c>
      <c r="B274" s="10">
        <v>2012.46</v>
      </c>
      <c r="C274" s="10">
        <v>530.34</v>
      </c>
      <c r="D274" s="10">
        <v>2542.8000000000002</v>
      </c>
    </row>
    <row r="275" spans="1:4" x14ac:dyDescent="0.25">
      <c r="A275" s="2" t="str">
        <f>"3.1.6.00.18- Cofins s/ receitas financeiras"</f>
        <v>3.1.6.00.18- Cofins s/ receitas financeiras</v>
      </c>
      <c r="B275" s="10">
        <v>12384.47</v>
      </c>
      <c r="C275" s="10">
        <v>3263.6</v>
      </c>
      <c r="D275" s="10">
        <v>15648.07</v>
      </c>
    </row>
    <row r="276" spans="1:4" x14ac:dyDescent="0.25">
      <c r="A276" s="2" t="str">
        <f>"3.1.7.00.00- DESPESAS FINANCEIRAS"</f>
        <v>3.1.7.00.00- DESPESAS FINANCEIRAS</v>
      </c>
      <c r="B276" s="10">
        <v>16262.66</v>
      </c>
      <c r="C276" s="10">
        <v>2577.61</v>
      </c>
      <c r="D276" s="10">
        <v>18840.27</v>
      </c>
    </row>
    <row r="277" spans="1:4" x14ac:dyDescent="0.25">
      <c r="A277" s="2" t="str">
        <f>"3.1.7.01.01- Juros passivos curto prazo"</f>
        <v>3.1.7.01.01- Juros passivos curto prazo</v>
      </c>
      <c r="B277" s="10">
        <v>61.07</v>
      </c>
      <c r="C277" s="10">
        <v>0</v>
      </c>
      <c r="D277" s="10">
        <v>61.07</v>
      </c>
    </row>
    <row r="278" spans="1:4" x14ac:dyDescent="0.25">
      <c r="A278" s="2" t="str">
        <f>"3.1.7.01.02- Despesas bancarias"</f>
        <v>3.1.7.01.02- Despesas bancarias</v>
      </c>
      <c r="B278" s="10">
        <v>16201.59</v>
      </c>
      <c r="C278" s="10">
        <v>2577.61</v>
      </c>
      <c r="D278" s="10">
        <v>18779.2</v>
      </c>
    </row>
    <row r="279" spans="1:4" x14ac:dyDescent="0.25">
      <c r="A279" s="2" t="str">
        <f>"3.1.8.00.00- OUTRAS DESPESAS"</f>
        <v>3.1.8.00.00- OUTRAS DESPESAS</v>
      </c>
      <c r="B279" s="10">
        <v>850949.39</v>
      </c>
      <c r="C279" s="10">
        <v>114575.43</v>
      </c>
      <c r="D279" s="10">
        <v>965524.82</v>
      </c>
    </row>
    <row r="280" spans="1:4" x14ac:dyDescent="0.25">
      <c r="A280" s="2" t="str">
        <f>"3.1.8.00.01- Despesas de viagem"</f>
        <v>3.1.8.00.01- Despesas de viagem</v>
      </c>
      <c r="B280" s="10">
        <v>42923.54</v>
      </c>
      <c r="C280" s="10">
        <v>8718.1200000000008</v>
      </c>
      <c r="D280" s="10">
        <v>51641.66</v>
      </c>
    </row>
    <row r="281" spans="1:4" x14ac:dyDescent="0.25">
      <c r="A281" s="2" t="str">
        <f>"3.1.8.00.05- Depreciacao/amort"</f>
        <v>3.1.8.00.05- Depreciacao/amort</v>
      </c>
      <c r="B281" s="10">
        <v>159571.64000000001</v>
      </c>
      <c r="C281" s="10">
        <v>21760.05</v>
      </c>
      <c r="D281" s="10">
        <v>181331.69</v>
      </c>
    </row>
    <row r="282" spans="1:4" x14ac:dyDescent="0.25">
      <c r="A282" s="2" t="str">
        <f>"3.1.8.00.06- Seguros bens moveis e imoveis"</f>
        <v>3.1.8.00.06- Seguros bens moveis e imoveis</v>
      </c>
      <c r="B282" s="10">
        <v>5159.6499999999996</v>
      </c>
      <c r="C282" s="10">
        <v>2182.25</v>
      </c>
      <c r="D282" s="10">
        <v>7341.9</v>
      </c>
    </row>
    <row r="283" spans="1:4" x14ac:dyDescent="0.25">
      <c r="A283" s="2" t="str">
        <f>"3.1.8.00.08- Alugueis e condominio"</f>
        <v>3.1.8.00.08- Alugueis e condominio</v>
      </c>
      <c r="B283" s="10">
        <v>35502.67</v>
      </c>
      <c r="C283" s="10">
        <v>5071.8100000000004</v>
      </c>
      <c r="D283" s="10">
        <v>40574.480000000003</v>
      </c>
    </row>
    <row r="284" spans="1:4" x14ac:dyDescent="0.25">
      <c r="A284" s="2" t="str">
        <f>"3.1.8.00.12- Acoes judiciais terceiros"</f>
        <v>3.1.8.00.12- Acoes judiciais terceiros</v>
      </c>
      <c r="B284" s="10">
        <v>3000</v>
      </c>
      <c r="C284" s="10">
        <v>21483.3</v>
      </c>
      <c r="D284" s="10">
        <v>24483.3</v>
      </c>
    </row>
    <row r="285" spans="1:4" x14ac:dyDescent="0.25">
      <c r="A285" s="2" t="str">
        <f>"3.1.8.00.16- Baixa de imobilizado"</f>
        <v>3.1.8.00.16- Baixa de imobilizado</v>
      </c>
      <c r="B285" s="10">
        <v>4022.49</v>
      </c>
      <c r="C285" s="10">
        <v>317.41000000000003</v>
      </c>
      <c r="D285" s="10">
        <v>4339.8999999999996</v>
      </c>
    </row>
    <row r="286" spans="1:4" x14ac:dyDescent="0.25">
      <c r="A286" s="2" t="str">
        <f>"3.1.8.00.17- Gastos com eventos e promocoes"</f>
        <v>3.1.8.00.17- Gastos com eventos e promocoes</v>
      </c>
      <c r="B286" s="10">
        <v>285460.3</v>
      </c>
      <c r="C286" s="10">
        <v>0</v>
      </c>
      <c r="D286" s="10">
        <v>285460.3</v>
      </c>
    </row>
    <row r="287" spans="1:4" x14ac:dyDescent="0.25">
      <c r="A287" s="2" t="str">
        <f>"3.1.8.00.18- Provisao para perdas"</f>
        <v>3.1.8.00.18- Provisao para perdas</v>
      </c>
      <c r="B287" s="10">
        <v>264365.8</v>
      </c>
      <c r="C287" s="10">
        <v>50003.18</v>
      </c>
      <c r="D287" s="10">
        <v>314368.98</v>
      </c>
    </row>
    <row r="288" spans="1:4" x14ac:dyDescent="0.25">
      <c r="A288" s="2" t="str">
        <f>"3.1.8.00.23- Custas/Despesas Judiciais"</f>
        <v>3.1.8.00.23- Custas/Despesas Judiciais</v>
      </c>
      <c r="B288" s="10">
        <v>50745.8</v>
      </c>
      <c r="C288" s="10">
        <v>5069.3100000000004</v>
      </c>
      <c r="D288" s="10">
        <v>55815.11</v>
      </c>
    </row>
    <row r="289" spans="1:4" x14ac:dyDescent="0.25">
      <c r="A289" s="2" t="str">
        <f>"3.1.8.00.99- Despesas diversas"</f>
        <v>3.1.8.00.99- Despesas diversas</v>
      </c>
      <c r="B289" s="10">
        <v>197.5</v>
      </c>
      <c r="C289" s="10">
        <v>-30</v>
      </c>
      <c r="D289" s="10">
        <v>167.5</v>
      </c>
    </row>
    <row r="290" spans="1:4" x14ac:dyDescent="0.25">
      <c r="A290" s="2" t="str">
        <f>""</f>
        <v/>
      </c>
      <c r="B290" s="3" t="str">
        <f>""</f>
        <v/>
      </c>
      <c r="C290" s="3" t="str">
        <f>""</f>
        <v/>
      </c>
      <c r="D290" s="3" t="str">
        <f>""</f>
        <v/>
      </c>
    </row>
    <row r="291" spans="1:4" x14ac:dyDescent="0.25">
      <c r="A291" s="2" t="str">
        <f>""</f>
        <v/>
      </c>
      <c r="B291" s="3" t="str">
        <f>""</f>
        <v/>
      </c>
      <c r="C291" s="3" t="str">
        <f>""</f>
        <v/>
      </c>
      <c r="D291" s="3" t="str">
        <f>""</f>
        <v/>
      </c>
    </row>
    <row r="292" spans="1:4" x14ac:dyDescent="0.25">
      <c r="A292" s="2" t="str">
        <f>""</f>
        <v/>
      </c>
      <c r="B292" s="3" t="str">
        <f>""</f>
        <v/>
      </c>
      <c r="C292" s="3" t="str">
        <f>""</f>
        <v/>
      </c>
      <c r="D292" s="3" t="str">
        <f>""</f>
        <v/>
      </c>
    </row>
    <row r="293" spans="1:4" x14ac:dyDescent="0.25">
      <c r="A293" s="2" t="str">
        <f>""</f>
        <v/>
      </c>
      <c r="B293" s="3" t="str">
        <f>""</f>
        <v/>
      </c>
      <c r="C293" s="3" t="str">
        <f>""</f>
        <v/>
      </c>
      <c r="D293" s="3" t="str">
        <f>""</f>
        <v/>
      </c>
    </row>
    <row r="294" spans="1:4" x14ac:dyDescent="0.25">
      <c r="A294" s="2" t="str">
        <f>""</f>
        <v/>
      </c>
      <c r="B294" s="3" t="str">
        <f>""</f>
        <v/>
      </c>
      <c r="C294" s="3" t="str">
        <f>""</f>
        <v/>
      </c>
      <c r="D294" s="3" t="str">
        <f>""</f>
        <v/>
      </c>
    </row>
    <row r="295" spans="1:4" x14ac:dyDescent="0.25">
      <c r="A295" s="2" t="str">
        <f>""</f>
        <v/>
      </c>
      <c r="B295" s="3" t="str">
        <f>""</f>
        <v/>
      </c>
      <c r="C295" s="3" t="str">
        <f>""</f>
        <v/>
      </c>
      <c r="D295" s="3" t="str">
        <f>""</f>
        <v/>
      </c>
    </row>
    <row r="296" spans="1:4" x14ac:dyDescent="0.25">
      <c r="A296" s="2" t="str">
        <f>""</f>
        <v/>
      </c>
      <c r="B296" s="3" t="str">
        <f>""</f>
        <v/>
      </c>
      <c r="C296" s="3" t="str">
        <f>""</f>
        <v/>
      </c>
      <c r="D296" s="3" t="str">
        <f>""</f>
        <v/>
      </c>
    </row>
    <row r="297" spans="1:4" x14ac:dyDescent="0.25">
      <c r="A297" s="2" t="str">
        <f>""</f>
        <v/>
      </c>
      <c r="B297" s="3" t="str">
        <f>""</f>
        <v/>
      </c>
      <c r="C297" s="3" t="str">
        <f>""</f>
        <v/>
      </c>
      <c r="D297" s="3" t="str">
        <f>""</f>
        <v/>
      </c>
    </row>
    <row r="298" spans="1:4" x14ac:dyDescent="0.25">
      <c r="A298" s="2" t="str">
        <f>""</f>
        <v/>
      </c>
      <c r="B298" s="3" t="str">
        <f>""</f>
        <v/>
      </c>
      <c r="C298" s="3" t="str">
        <f>""</f>
        <v/>
      </c>
      <c r="D298" s="3" t="str">
        <f>""</f>
        <v/>
      </c>
    </row>
    <row r="299" spans="1:4" x14ac:dyDescent="0.25">
      <c r="A299" s="2" t="str">
        <f>""</f>
        <v/>
      </c>
      <c r="B299" s="3" t="str">
        <f>""</f>
        <v/>
      </c>
      <c r="C299" s="3" t="str">
        <f>""</f>
        <v/>
      </c>
      <c r="D299" s="3" t="str">
        <f>""</f>
        <v/>
      </c>
    </row>
    <row r="300" spans="1:4" x14ac:dyDescent="0.25">
      <c r="A300" s="2" t="str">
        <f>"RECEITAS"</f>
        <v>RECEITAS</v>
      </c>
      <c r="B300" s="3" t="str">
        <f>""</f>
        <v/>
      </c>
      <c r="C300" s="3" t="str">
        <f>""</f>
        <v/>
      </c>
      <c r="D300" s="3" t="str">
        <f>""</f>
        <v/>
      </c>
    </row>
    <row r="301" spans="1:4" x14ac:dyDescent="0.25">
      <c r="A301" s="2" t="str">
        <f>"4.0.0.00.00- RECEITAS"</f>
        <v>4.0.0.00.00- RECEITAS</v>
      </c>
      <c r="B301" s="10">
        <v>87687304.519999996</v>
      </c>
      <c r="C301" s="10">
        <v>12091001.27</v>
      </c>
      <c r="D301" s="10">
        <v>99778305.790000007</v>
      </c>
    </row>
    <row r="302" spans="1:4" x14ac:dyDescent="0.25">
      <c r="A302" s="2" t="str">
        <f>"4.1.0.00.00- RECEITAS BHTRANS"</f>
        <v>4.1.0.00.00- RECEITAS BHTRANS</v>
      </c>
      <c r="B302" s="10">
        <v>86334833.260000005</v>
      </c>
      <c r="C302" s="10">
        <v>11939514.76</v>
      </c>
      <c r="D302" s="10">
        <v>98274348.019999996</v>
      </c>
    </row>
    <row r="303" spans="1:4" x14ac:dyDescent="0.25">
      <c r="A303" s="2" t="str">
        <f>"4.1.1.00.00- RECEITAS OPERACIONAIS"</f>
        <v>4.1.1.00.00- RECEITAS OPERACIONAIS</v>
      </c>
      <c r="B303" s="10">
        <v>85936155.790000007</v>
      </c>
      <c r="C303" s="10">
        <v>11880805.5</v>
      </c>
      <c r="D303" s="10">
        <v>97816961.290000007</v>
      </c>
    </row>
    <row r="304" spans="1:4" x14ac:dyDescent="0.25">
      <c r="A304" s="2" t="str">
        <f>"4.1.1.00.05- Midia taxi, escolar e suplementar"</f>
        <v>4.1.1.00.05- Midia taxi, escolar e suplementar</v>
      </c>
      <c r="B304" s="10">
        <v>28277.93</v>
      </c>
      <c r="C304" s="10">
        <v>3414.17</v>
      </c>
      <c r="D304" s="10">
        <v>31692.1</v>
      </c>
    </row>
    <row r="305" spans="1:4" x14ac:dyDescent="0.25">
      <c r="A305" s="2" t="str">
        <f>"4.1.1.00.06- Midia em onibus"</f>
        <v>4.1.1.00.06- Midia em onibus</v>
      </c>
      <c r="B305" s="10">
        <v>372447.97</v>
      </c>
      <c r="C305" s="10">
        <v>76906.34</v>
      </c>
      <c r="D305" s="10">
        <v>449354.31</v>
      </c>
    </row>
    <row r="306" spans="1:4" x14ac:dyDescent="0.25">
      <c r="A306" s="2" t="str">
        <f>"4.1.1.00.07- Midias diversas"</f>
        <v>4.1.1.00.07- Midias diversas</v>
      </c>
      <c r="B306" s="10">
        <v>61005.36</v>
      </c>
      <c r="C306" s="10">
        <v>7625.67</v>
      </c>
      <c r="D306" s="10">
        <v>68631.03</v>
      </c>
    </row>
    <row r="307" spans="1:4" x14ac:dyDescent="0.25">
      <c r="A307" s="2" t="str">
        <f>"4.1.1.00.08- Estacionamento Rotativo"</f>
        <v>4.1.1.00.08- Estacionamento Rotativo</v>
      </c>
      <c r="B307" s="10">
        <v>9988699.25</v>
      </c>
      <c r="C307" s="10">
        <v>1762719.2</v>
      </c>
      <c r="D307" s="10">
        <v>11751418.449999999</v>
      </c>
    </row>
    <row r="308" spans="1:4" x14ac:dyDescent="0.25">
      <c r="A308" s="2" t="str">
        <f>"4.1.1.00.10- Transf. financeira PBH"</f>
        <v>4.1.1.00.10- Transf. financeira PBH</v>
      </c>
      <c r="B308" s="10">
        <v>71642234.670000002</v>
      </c>
      <c r="C308" s="10">
        <v>9328548.3699999992</v>
      </c>
      <c r="D308" s="10">
        <v>80970783.040000007</v>
      </c>
    </row>
    <row r="309" spans="1:4" x14ac:dyDescent="0.25">
      <c r="A309" s="2" t="str">
        <f>"4.1.1.00.16- Multas transporte coletivo"</f>
        <v>4.1.1.00.16- Multas transporte coletivo</v>
      </c>
      <c r="B309" s="10">
        <v>2643657.9500000002</v>
      </c>
      <c r="C309" s="10">
        <v>500031.85</v>
      </c>
      <c r="D309" s="10">
        <v>3143689.8</v>
      </c>
    </row>
    <row r="310" spans="1:4" x14ac:dyDescent="0.25">
      <c r="A310" s="2" t="str">
        <f>"4.1.1.00.17- Multas transporte publico"</f>
        <v>4.1.1.00.17- Multas transporte publico</v>
      </c>
      <c r="B310" s="10">
        <v>912996.63</v>
      </c>
      <c r="C310" s="10">
        <v>138477.70000000001</v>
      </c>
      <c r="D310" s="10">
        <v>1051474.33</v>
      </c>
    </row>
    <row r="311" spans="1:4" x14ac:dyDescent="0.25">
      <c r="A311" s="2" t="str">
        <f>"4.1.1.00.19- Subconcessao frotas de taxi"</f>
        <v>4.1.1.00.19- Subconcessao frotas de taxi</v>
      </c>
      <c r="B311" s="10">
        <v>286836.03000000003</v>
      </c>
      <c r="C311" s="10">
        <v>63082.2</v>
      </c>
      <c r="D311" s="10">
        <v>349918.23</v>
      </c>
    </row>
    <row r="312" spans="1:4" x14ac:dyDescent="0.25">
      <c r="A312" s="2" t="str">
        <f>"4.1.2.00.00- RECEITAS ESTACAO DIAMANTE"</f>
        <v>4.1.2.00.00- RECEITAS ESTACAO DIAMANTE</v>
      </c>
      <c r="B312" s="10">
        <v>273808.71000000002</v>
      </c>
      <c r="C312" s="10">
        <v>11105.52</v>
      </c>
      <c r="D312" s="10">
        <v>284914.23</v>
      </c>
    </row>
    <row r="313" spans="1:4" x14ac:dyDescent="0.25">
      <c r="A313" s="2" t="str">
        <f>"4.1.2.00.01- Alugueis"</f>
        <v>4.1.2.00.01- Alugueis</v>
      </c>
      <c r="B313" s="10">
        <v>273808.71000000002</v>
      </c>
      <c r="C313" s="10">
        <v>11105.52</v>
      </c>
      <c r="D313" s="10">
        <v>284914.23</v>
      </c>
    </row>
    <row r="314" spans="1:4" x14ac:dyDescent="0.25">
      <c r="A314" s="2" t="str">
        <f>"4.1.3.00.00- RECEITAS ESTACAO VENDA NOVA"</f>
        <v>4.1.3.00.00- RECEITAS ESTACAO VENDA NOVA</v>
      </c>
      <c r="B314" s="10">
        <v>88151.62</v>
      </c>
      <c r="C314" s="10">
        <v>17701.919999999998</v>
      </c>
      <c r="D314" s="10">
        <v>105853.54</v>
      </c>
    </row>
    <row r="315" spans="1:4" x14ac:dyDescent="0.25">
      <c r="A315" s="2" t="str">
        <f>"4.1.3.00.01- Alugueis"</f>
        <v>4.1.3.00.01- Alugueis</v>
      </c>
      <c r="B315" s="10">
        <v>88151.62</v>
      </c>
      <c r="C315" s="10">
        <v>17701.919999999998</v>
      </c>
      <c r="D315" s="10">
        <v>105853.54</v>
      </c>
    </row>
    <row r="316" spans="1:4" x14ac:dyDescent="0.25">
      <c r="A316" s="2" t="str">
        <f>"4.1.6.00.00- RECEITAS ESTACAO PAMPULHA"</f>
        <v>4.1.6.00.00- RECEITAS ESTACAO PAMPULHA</v>
      </c>
      <c r="B316" s="10">
        <v>36717.14</v>
      </c>
      <c r="C316" s="10">
        <v>29901.82</v>
      </c>
      <c r="D316" s="10">
        <v>66618.960000000006</v>
      </c>
    </row>
    <row r="317" spans="1:4" x14ac:dyDescent="0.25">
      <c r="A317" s="2" t="str">
        <f>"4.1.6.00.01- Alugueis"</f>
        <v>4.1.6.00.01- Alugueis</v>
      </c>
      <c r="B317" s="10">
        <v>36717.14</v>
      </c>
      <c r="C317" s="10">
        <v>29901.82</v>
      </c>
      <c r="D317" s="10">
        <v>66618.960000000006</v>
      </c>
    </row>
    <row r="318" spans="1:4" x14ac:dyDescent="0.25">
      <c r="A318" s="2" t="str">
        <f>"4.2.0.00.00- RECEITAS FINANCEIRAS"</f>
        <v>4.2.0.00.00- RECEITAS FINANCEIRAS</v>
      </c>
      <c r="B318" s="10">
        <v>309611.44</v>
      </c>
      <c r="C318" s="10">
        <v>81590.02</v>
      </c>
      <c r="D318" s="10">
        <v>391201.46</v>
      </c>
    </row>
    <row r="319" spans="1:4" x14ac:dyDescent="0.25">
      <c r="A319" s="2" t="str">
        <f>"4.2.1.00.00- RECEITAS FINANCEIRAS"</f>
        <v>4.2.1.00.00- RECEITAS FINANCEIRAS</v>
      </c>
      <c r="B319" s="10">
        <v>308935.53000000003</v>
      </c>
      <c r="C319" s="10">
        <v>81504.73</v>
      </c>
      <c r="D319" s="10">
        <v>390440.26</v>
      </c>
    </row>
    <row r="320" spans="1:4" x14ac:dyDescent="0.25">
      <c r="A320" s="2" t="str">
        <f>"4.2.1.00.01- Rendimentos aplic. Financeira"</f>
        <v>4.2.1.00.01- Rendimentos aplic. Financeira</v>
      </c>
      <c r="B320" s="10">
        <v>306830.83</v>
      </c>
      <c r="C320" s="10">
        <v>81477.33</v>
      </c>
      <c r="D320" s="10">
        <v>388308.16</v>
      </c>
    </row>
    <row r="321" spans="1:4" x14ac:dyDescent="0.25">
      <c r="A321" s="2" t="str">
        <f>"4.2.1.00.02- Juros ativos"</f>
        <v>4.2.1.00.02- Juros ativos</v>
      </c>
      <c r="B321" s="10">
        <v>2104.6999999999998</v>
      </c>
      <c r="C321" s="10">
        <v>27.4</v>
      </c>
      <c r="D321" s="10">
        <v>2132.1</v>
      </c>
    </row>
    <row r="322" spans="1:4" x14ac:dyDescent="0.25">
      <c r="A322" s="2" t="str">
        <f>"4.2.2.00.00- VARIACOES MONETARIAS ATIVAS"</f>
        <v>4.2.2.00.00- VARIACOES MONETARIAS ATIVAS</v>
      </c>
      <c r="B322" s="10">
        <v>675.91</v>
      </c>
      <c r="C322" s="10">
        <v>85.29</v>
      </c>
      <c r="D322" s="10">
        <v>761.2</v>
      </c>
    </row>
    <row r="323" spans="1:4" x14ac:dyDescent="0.25">
      <c r="A323" s="2" t="str">
        <f>"4.2.2.00.01- Variações monetárias ativas"</f>
        <v>4.2.2.00.01- Variações monetárias ativas</v>
      </c>
      <c r="B323" s="10">
        <v>675.91</v>
      </c>
      <c r="C323" s="10">
        <v>85.29</v>
      </c>
      <c r="D323" s="10">
        <v>761.2</v>
      </c>
    </row>
    <row r="324" spans="1:4" x14ac:dyDescent="0.25">
      <c r="A324" s="2" t="str">
        <f>"4.3.0.00.00- OUTRAS RECEITAS"</f>
        <v>4.3.0.00.00- OUTRAS RECEITAS</v>
      </c>
      <c r="B324" s="10">
        <v>1042859.82</v>
      </c>
      <c r="C324" s="10">
        <v>69896.490000000005</v>
      </c>
      <c r="D324" s="10">
        <v>1112756.31</v>
      </c>
    </row>
    <row r="325" spans="1:4" x14ac:dyDescent="0.25">
      <c r="A325" s="2" t="str">
        <f>"4.3.1.00.00- OUTRAS RECEITAS"</f>
        <v>4.3.1.00.00- OUTRAS RECEITAS</v>
      </c>
      <c r="B325" s="10">
        <v>1042859.82</v>
      </c>
      <c r="C325" s="10">
        <v>69896.490000000005</v>
      </c>
      <c r="D325" s="10">
        <v>1112756.31</v>
      </c>
    </row>
    <row r="326" spans="1:4" x14ac:dyDescent="0.25">
      <c r="A326" s="2" t="str">
        <f>"4.3.1.00.04- Receitas Diversas"</f>
        <v>4.3.1.00.04- Receitas Diversas</v>
      </c>
      <c r="B326" s="10">
        <v>550911.47</v>
      </c>
      <c r="C326" s="10">
        <v>69896.490000000005</v>
      </c>
      <c r="D326" s="10">
        <v>620807.96</v>
      </c>
    </row>
    <row r="327" spans="1:4" x14ac:dyDescent="0.25">
      <c r="A327" s="2" t="str">
        <f>"4.3.1.00.05- Ganhos ou perdas de Capital"</f>
        <v>4.3.1.00.05- Ganhos ou perdas de Capital</v>
      </c>
      <c r="B327" s="10">
        <v>9840</v>
      </c>
      <c r="C327" s="10">
        <v>0</v>
      </c>
      <c r="D327" s="10">
        <v>9840</v>
      </c>
    </row>
    <row r="328" spans="1:4" x14ac:dyDescent="0.25">
      <c r="A328" s="2" t="str">
        <f>"4.3.1.00.07- Concessão de Abrigo de ônibus"</f>
        <v>4.3.1.00.07- Concessão de Abrigo de ônibus</v>
      </c>
      <c r="B328" s="10">
        <v>482108.35</v>
      </c>
      <c r="C328" s="10">
        <v>0</v>
      </c>
      <c r="D328" s="10">
        <v>482108.35</v>
      </c>
    </row>
    <row r="329" spans="1:4" x14ac:dyDescent="0.25">
      <c r="A329" s="2" t="str">
        <f>""</f>
        <v/>
      </c>
      <c r="B329" s="3" t="str">
        <f>""</f>
        <v/>
      </c>
      <c r="C329" s="3" t="str">
        <f>""</f>
        <v/>
      </c>
      <c r="D329" s="3" t="str">
        <f>""</f>
        <v/>
      </c>
    </row>
    <row r="330" spans="1:4" x14ac:dyDescent="0.25">
      <c r="A330" s="2" t="str">
        <f>""</f>
        <v/>
      </c>
      <c r="B330" s="3" t="str">
        <f>""</f>
        <v/>
      </c>
      <c r="C330" s="3" t="str">
        <f>""</f>
        <v/>
      </c>
      <c r="D330" s="3" t="str">
        <f>""</f>
        <v/>
      </c>
    </row>
    <row r="331" spans="1:4" x14ac:dyDescent="0.25">
      <c r="A331" s="2" t="str">
        <f>""</f>
        <v/>
      </c>
      <c r="B331" s="3" t="str">
        <f>""</f>
        <v/>
      </c>
      <c r="C331" s="3" t="str">
        <f>""</f>
        <v/>
      </c>
      <c r="D331" s="3" t="str">
        <f>""</f>
        <v/>
      </c>
    </row>
    <row r="332" spans="1:4" x14ac:dyDescent="0.25">
      <c r="A332" s="2" t="str">
        <f>""</f>
        <v/>
      </c>
      <c r="B332" s="3" t="str">
        <f>""</f>
        <v/>
      </c>
      <c r="C332" s="3" t="str">
        <f>""</f>
        <v/>
      </c>
      <c r="D332" s="3" t="str">
        <f>""</f>
        <v/>
      </c>
    </row>
    <row r="333" spans="1:4" x14ac:dyDescent="0.25">
      <c r="A333" s="2" t="str">
        <f>""</f>
        <v/>
      </c>
      <c r="B333" s="3" t="str">
        <f>""</f>
        <v/>
      </c>
      <c r="C333" s="3" t="str">
        <f>""</f>
        <v/>
      </c>
      <c r="D333" s="3" t="str">
        <f>""</f>
        <v/>
      </c>
    </row>
    <row r="334" spans="1:4" x14ac:dyDescent="0.25">
      <c r="A334" s="2" t="str">
        <f>""</f>
        <v/>
      </c>
      <c r="B334" s="3" t="str">
        <f>""</f>
        <v/>
      </c>
      <c r="C334" s="3" t="str">
        <f>""</f>
        <v/>
      </c>
      <c r="D334" s="3" t="str">
        <f>""</f>
        <v/>
      </c>
    </row>
    <row r="335" spans="1:4" x14ac:dyDescent="0.25">
      <c r="A335" s="2" t="str">
        <f>""</f>
        <v/>
      </c>
      <c r="B335" s="3" t="str">
        <f>""</f>
        <v/>
      </c>
      <c r="C335" s="3" t="str">
        <f>""</f>
        <v/>
      </c>
      <c r="D335" s="3" t="str">
        <f>""</f>
        <v/>
      </c>
    </row>
    <row r="336" spans="1:4" x14ac:dyDescent="0.25">
      <c r="A336" s="2" t="str">
        <f>""</f>
        <v/>
      </c>
      <c r="B336" s="3" t="str">
        <f>""</f>
        <v/>
      </c>
      <c r="C336" s="3" t="str">
        <f>""</f>
        <v/>
      </c>
      <c r="D336" s="3" t="str">
        <f>""</f>
        <v/>
      </c>
    </row>
    <row r="337" spans="1:4" x14ac:dyDescent="0.25">
      <c r="A337" s="2" t="str">
        <f>""</f>
        <v/>
      </c>
      <c r="B337" s="3" t="str">
        <f>""</f>
        <v/>
      </c>
      <c r="C337" s="3" t="str">
        <f>""</f>
        <v/>
      </c>
      <c r="D337" s="3" t="str">
        <f>""</f>
        <v/>
      </c>
    </row>
    <row r="338" spans="1:4" x14ac:dyDescent="0.25">
      <c r="A338" s="2" t="str">
        <f>""</f>
        <v/>
      </c>
      <c r="B338" s="3" t="str">
        <f>""</f>
        <v/>
      </c>
      <c r="C338" s="3" t="str">
        <f>""</f>
        <v/>
      </c>
      <c r="D338" s="3" t="str">
        <f>""</f>
        <v/>
      </c>
    </row>
    <row r="339" spans="1:4" x14ac:dyDescent="0.25">
      <c r="A339" s="2" t="str">
        <f>""</f>
        <v/>
      </c>
      <c r="B339" s="3" t="str">
        <f>""</f>
        <v/>
      </c>
      <c r="C339" s="3" t="str">
        <f>""</f>
        <v/>
      </c>
      <c r="D339" s="3" t="str">
        <f>""</f>
        <v/>
      </c>
    </row>
    <row r="340" spans="1:4" x14ac:dyDescent="0.25">
      <c r="A340" s="2" t="str">
        <f>""</f>
        <v/>
      </c>
      <c r="B340" s="3" t="str">
        <f>""</f>
        <v/>
      </c>
      <c r="C340" s="3" t="str">
        <f>""</f>
        <v/>
      </c>
      <c r="D340" s="3" t="str">
        <f>""</f>
        <v/>
      </c>
    </row>
    <row r="341" spans="1:4" x14ac:dyDescent="0.25">
      <c r="A341" s="2" t="str">
        <f>""</f>
        <v/>
      </c>
      <c r="B341" s="3" t="str">
        <f>""</f>
        <v/>
      </c>
      <c r="C341" s="3" t="str">
        <f>""</f>
        <v/>
      </c>
      <c r="D341" s="3" t="str">
        <f>""</f>
        <v/>
      </c>
    </row>
    <row r="342" spans="1:4" x14ac:dyDescent="0.25">
      <c r="A342" s="2" t="str">
        <f>""</f>
        <v/>
      </c>
      <c r="B342" s="3" t="str">
        <f>""</f>
        <v/>
      </c>
      <c r="C342" s="3" t="str">
        <f>""</f>
        <v/>
      </c>
      <c r="D342" s="3" t="str">
        <f>""</f>
        <v/>
      </c>
    </row>
    <row r="343" spans="1:4" x14ac:dyDescent="0.25">
      <c r="A343" s="2" t="str">
        <f>""</f>
        <v/>
      </c>
      <c r="B343" s="3" t="str">
        <f>""</f>
        <v/>
      </c>
      <c r="C343" s="3" t="str">
        <f>""</f>
        <v/>
      </c>
      <c r="D343" s="3" t="str">
        <f>""</f>
        <v/>
      </c>
    </row>
    <row r="344" spans="1:4" x14ac:dyDescent="0.25">
      <c r="A344" s="2" t="str">
        <f>""</f>
        <v/>
      </c>
      <c r="B344" s="3" t="str">
        <f>""</f>
        <v/>
      </c>
      <c r="C344" s="3" t="str">
        <f>""</f>
        <v/>
      </c>
      <c r="D344" s="3" t="str">
        <f>""</f>
        <v/>
      </c>
    </row>
    <row r="345" spans="1:4" x14ac:dyDescent="0.25">
      <c r="A345" s="2" t="str">
        <f>""</f>
        <v/>
      </c>
      <c r="B345" s="3" t="str">
        <f>""</f>
        <v/>
      </c>
      <c r="C345" s="3" t="str">
        <f>""</f>
        <v/>
      </c>
      <c r="D345" s="3" t="str">
        <f>""</f>
        <v/>
      </c>
    </row>
    <row r="346" spans="1:4" x14ac:dyDescent="0.25">
      <c r="A346" s="2" t="str">
        <f>""</f>
        <v/>
      </c>
      <c r="B346" s="3" t="str">
        <f>""</f>
        <v/>
      </c>
      <c r="C346" s="3" t="str">
        <f>""</f>
        <v/>
      </c>
      <c r="D346" s="3" t="str">
        <f>""</f>
        <v/>
      </c>
    </row>
    <row r="347" spans="1:4" x14ac:dyDescent="0.25">
      <c r="A347" s="2" t="str">
        <f>""</f>
        <v/>
      </c>
      <c r="B347" s="3" t="str">
        <f>""</f>
        <v/>
      </c>
      <c r="C347" s="3" t="str">
        <f>""</f>
        <v/>
      </c>
      <c r="D347" s="3" t="str">
        <f>""</f>
        <v/>
      </c>
    </row>
    <row r="348" spans="1:4" x14ac:dyDescent="0.25">
      <c r="A348" s="2" t="str">
        <f>""</f>
        <v/>
      </c>
      <c r="B348" s="3" t="str">
        <f>""</f>
        <v/>
      </c>
      <c r="C348" s="3" t="str">
        <f>""</f>
        <v/>
      </c>
      <c r="D348" s="3" t="str">
        <f>""</f>
        <v/>
      </c>
    </row>
    <row r="349" spans="1:4" x14ac:dyDescent="0.25">
      <c r="A349" s="2" t="str">
        <f>""</f>
        <v/>
      </c>
      <c r="B349" s="3" t="str">
        <f>""</f>
        <v/>
      </c>
      <c r="C349" s="3" t="str">
        <f>""</f>
        <v/>
      </c>
      <c r="D349" s="3" t="str">
        <f>""</f>
        <v/>
      </c>
    </row>
    <row r="350" spans="1:4" x14ac:dyDescent="0.25">
      <c r="A350" s="2" t="str">
        <f>""</f>
        <v/>
      </c>
      <c r="B350" s="3" t="str">
        <f>""</f>
        <v/>
      </c>
      <c r="C350" s="3" t="str">
        <f>""</f>
        <v/>
      </c>
      <c r="D350" s="3" t="str">
        <f>""</f>
        <v/>
      </c>
    </row>
    <row r="351" spans="1:4" x14ac:dyDescent="0.25">
      <c r="A351" s="2" t="str">
        <f>""</f>
        <v/>
      </c>
      <c r="B351" s="3" t="str">
        <f>""</f>
        <v/>
      </c>
      <c r="C351" s="3" t="str">
        <f>""</f>
        <v/>
      </c>
      <c r="D351" s="3" t="str">
        <f>""</f>
        <v/>
      </c>
    </row>
    <row r="352" spans="1:4" x14ac:dyDescent="0.25">
      <c r="A352" s="2" t="str">
        <f>""</f>
        <v/>
      </c>
      <c r="B352" s="3" t="str">
        <f>""</f>
        <v/>
      </c>
      <c r="C352" s="3" t="str">
        <f>""</f>
        <v/>
      </c>
      <c r="D352" s="3" t="str">
        <f>""</f>
        <v/>
      </c>
    </row>
    <row r="353" spans="1:4" ht="15.75" thickBot="1" x14ac:dyDescent="0.3">
      <c r="A353" s="4" t="str">
        <f>"APURACAO DE RESULTADOS"</f>
        <v>APURACAO DE RESULTADOS</v>
      </c>
      <c r="B353" s="5" t="str">
        <f>""</f>
        <v/>
      </c>
      <c r="C353" s="5" t="str">
        <f>""</f>
        <v/>
      </c>
      <c r="D353" s="5" t="str">
        <f>""</f>
        <v/>
      </c>
    </row>
    <row r="354" spans="1:4" x14ac:dyDescent="0.25">
      <c r="A354" t="s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3"/>
  <sheetViews>
    <sheetView workbookViewId="0">
      <selection activeCell="E1" sqref="E1"/>
    </sheetView>
  </sheetViews>
  <sheetFormatPr defaultRowHeight="15" x14ac:dyDescent="0.25"/>
  <cols>
    <col min="1" max="1" width="71.5703125" bestFit="1" customWidth="1"/>
    <col min="2" max="2" width="14.5703125" bestFit="1" customWidth="1"/>
    <col min="3" max="3" width="14.28515625" bestFit="1" customWidth="1"/>
    <col min="4" max="4" width="14.5703125" bestFit="1" customWidth="1"/>
  </cols>
  <sheetData>
    <row r="1" spans="1:4" ht="19.5" thickBot="1" x14ac:dyDescent="0.35">
      <c r="A1" s="1" t="s">
        <v>9</v>
      </c>
      <c r="B1" s="1"/>
      <c r="C1" s="1"/>
      <c r="D1" s="1"/>
    </row>
    <row r="2" spans="1:4" ht="15.75" thickBot="1" x14ac:dyDescent="0.3">
      <c r="A2" s="8" t="s">
        <v>13</v>
      </c>
      <c r="B2" s="9" t="s">
        <v>14</v>
      </c>
      <c r="C2" s="9" t="s">
        <v>15</v>
      </c>
      <c r="D2" s="9" t="s">
        <v>16</v>
      </c>
    </row>
    <row r="3" spans="1:4" x14ac:dyDescent="0.25">
      <c r="A3" s="6" t="str">
        <f>"ATIVO"</f>
        <v>ATIVO</v>
      </c>
      <c r="B3" s="7" t="str">
        <f>""</f>
        <v/>
      </c>
      <c r="C3" s="7" t="str">
        <f>""</f>
        <v/>
      </c>
      <c r="D3" s="7" t="str">
        <f>""</f>
        <v/>
      </c>
    </row>
    <row r="4" spans="1:4" x14ac:dyDescent="0.25">
      <c r="A4" s="2" t="str">
        <f>"1.0.0.00.00- ATIVO"</f>
        <v>1.0.0.00.00- ATIVO</v>
      </c>
      <c r="B4" s="10">
        <v>41875072.799999997</v>
      </c>
      <c r="C4" s="10">
        <v>1830445.34</v>
      </c>
      <c r="D4" s="10">
        <v>43705518.140000001</v>
      </c>
    </row>
    <row r="5" spans="1:4" x14ac:dyDescent="0.25">
      <c r="A5" s="2" t="str">
        <f>"1.1.0.00.00- ATIVO CIRCULANTE"</f>
        <v>1.1.0.00.00- ATIVO CIRCULANTE</v>
      </c>
      <c r="B5" s="10">
        <v>30134001.789999999</v>
      </c>
      <c r="C5" s="10">
        <v>1123949.7</v>
      </c>
      <c r="D5" s="10">
        <v>31257951.489999998</v>
      </c>
    </row>
    <row r="6" spans="1:4" x14ac:dyDescent="0.25">
      <c r="A6" s="2" t="str">
        <f>"1.1.1.00.00- DISPONIVEL"</f>
        <v>1.1.1.00.00- DISPONIVEL</v>
      </c>
      <c r="B6" s="10">
        <v>14311342.34</v>
      </c>
      <c r="C6" s="10">
        <v>728463.51</v>
      </c>
      <c r="D6" s="10">
        <v>15039805.85</v>
      </c>
    </row>
    <row r="7" spans="1:4" x14ac:dyDescent="0.25">
      <c r="A7" s="2" t="str">
        <f>"1.1.1.01.00- CAIXA GERAL"</f>
        <v>1.1.1.01.00- CAIXA GERAL</v>
      </c>
      <c r="B7" s="10">
        <v>884.69</v>
      </c>
      <c r="C7" s="10">
        <v>-248.79</v>
      </c>
      <c r="D7" s="10">
        <v>635.9</v>
      </c>
    </row>
    <row r="8" spans="1:4" x14ac:dyDescent="0.25">
      <c r="A8" s="2" t="str">
        <f>"1.1.1.01.04- Caixa - Georf"</f>
        <v>1.1.1.01.04- Caixa - Georf</v>
      </c>
      <c r="B8" s="10">
        <v>244.69</v>
      </c>
      <c r="C8" s="10">
        <v>-244.69</v>
      </c>
      <c r="D8" s="10">
        <v>0</v>
      </c>
    </row>
    <row r="9" spans="1:4" x14ac:dyDescent="0.25">
      <c r="A9" s="2" t="str">
        <f>"1.1.1.01.08- Caixa - AJU"</f>
        <v>1.1.1.01.08- Caixa - AJU</v>
      </c>
      <c r="B9" s="10">
        <v>480</v>
      </c>
      <c r="C9" s="10">
        <v>0</v>
      </c>
      <c r="D9" s="10">
        <v>480</v>
      </c>
    </row>
    <row r="10" spans="1:4" x14ac:dyDescent="0.25">
      <c r="A10" s="2" t="str">
        <f>"1.1.1.01.09- Caixa - GEAMP"</f>
        <v>1.1.1.01.09- Caixa - GEAMP</v>
      </c>
      <c r="B10" s="10">
        <v>160</v>
      </c>
      <c r="C10" s="10">
        <v>-4.0999999999999996</v>
      </c>
      <c r="D10" s="10">
        <v>155.9</v>
      </c>
    </row>
    <row r="11" spans="1:4" x14ac:dyDescent="0.25">
      <c r="A11" s="2" t="str">
        <f>"1.1.1.02.00- BANCOS C/MOVIMENTO"</f>
        <v>1.1.1.02.00- BANCOS C/MOVIMENTO</v>
      </c>
      <c r="B11" s="10">
        <v>560845.46</v>
      </c>
      <c r="C11" s="10">
        <v>-291413.67</v>
      </c>
      <c r="D11" s="10">
        <v>269431.78999999998</v>
      </c>
    </row>
    <row r="12" spans="1:4" x14ac:dyDescent="0.25">
      <c r="A12" s="2" t="str">
        <f>"1.1.1.02.12- Banco do Brasil S/A - 720.001-3"</f>
        <v>1.1.1.02.12- Banco do Brasil S/A - 720.001-3</v>
      </c>
      <c r="B12" s="10">
        <v>78000.39</v>
      </c>
      <c r="C12" s="10">
        <v>-77673.820000000007</v>
      </c>
      <c r="D12" s="10">
        <v>326.57</v>
      </c>
    </row>
    <row r="13" spans="1:4" x14ac:dyDescent="0.25">
      <c r="A13" s="2" t="str">
        <f>"1.1.1.02.29- Caixa Econômica Federal - 3289-3 Arrecad"</f>
        <v>1.1.1.02.29- Caixa Econômica Federal - 3289-3 Arrecad</v>
      </c>
      <c r="B13" s="10">
        <v>6619.23</v>
      </c>
      <c r="C13" s="10">
        <v>6351.29</v>
      </c>
      <c r="D13" s="10">
        <v>12970.52</v>
      </c>
    </row>
    <row r="14" spans="1:4" x14ac:dyDescent="0.25">
      <c r="A14" s="2" t="str">
        <f>"1.1.1.02.30- Caixa Econômica Federal - 3291-5 Movimen"</f>
        <v>1.1.1.02.30- Caixa Econômica Federal - 3291-5 Movimen</v>
      </c>
      <c r="B14" s="10">
        <v>0</v>
      </c>
      <c r="C14" s="10">
        <v>1020</v>
      </c>
      <c r="D14" s="10">
        <v>1020</v>
      </c>
    </row>
    <row r="15" spans="1:4" x14ac:dyDescent="0.25">
      <c r="A15" s="2" t="str">
        <f>"1.1.1.02.31- Caixa Economica Federal - 3293-1 ROT"</f>
        <v>1.1.1.02.31- Caixa Economica Federal - 3293-1 ROT</v>
      </c>
      <c r="B15" s="10">
        <v>1855.73</v>
      </c>
      <c r="C15" s="10">
        <v>-586.49</v>
      </c>
      <c r="D15" s="10">
        <v>1269.24</v>
      </c>
    </row>
    <row r="16" spans="1:4" x14ac:dyDescent="0.25">
      <c r="A16" s="2" t="str">
        <f>"1.1.1.02.32- Caixa Econômica Federal - 3292-3 Leilão"</f>
        <v>1.1.1.02.32- Caixa Econômica Federal - 3292-3 Leilão</v>
      </c>
      <c r="B16" s="10">
        <v>80</v>
      </c>
      <c r="C16" s="10">
        <v>0</v>
      </c>
      <c r="D16" s="10">
        <v>80</v>
      </c>
    </row>
    <row r="17" spans="1:4" x14ac:dyDescent="0.25">
      <c r="A17" s="2" t="str">
        <f>"1.1.1.02.33- Caixa Econômica Federal - 3295-8Leilão13"</f>
        <v>1.1.1.02.33- Caixa Econômica Federal - 3295-8Leilão13</v>
      </c>
      <c r="B17" s="10">
        <v>80</v>
      </c>
      <c r="C17" s="10">
        <v>0</v>
      </c>
      <c r="D17" s="10">
        <v>80</v>
      </c>
    </row>
    <row r="18" spans="1:4" x14ac:dyDescent="0.25">
      <c r="A18" s="2" t="str">
        <f>"1.1.1.02.37- Caixa Econômica Federal - 3299-0Leilão16"</f>
        <v>1.1.1.02.37- Caixa Econômica Federal - 3299-0Leilão16</v>
      </c>
      <c r="B18" s="10">
        <v>80</v>
      </c>
      <c r="C18" s="10">
        <v>0</v>
      </c>
      <c r="D18" s="10">
        <v>80</v>
      </c>
    </row>
    <row r="19" spans="1:4" x14ac:dyDescent="0.25">
      <c r="A19" s="2" t="str">
        <f>"1.1.1.02.39- Caixa Econômica Federal - 3301-6 Mídia"</f>
        <v>1.1.1.02.39- Caixa Econômica Federal - 3301-6 Mídia</v>
      </c>
      <c r="B19" s="10">
        <v>22142.6</v>
      </c>
      <c r="C19" s="10">
        <v>2775.34</v>
      </c>
      <c r="D19" s="10">
        <v>24917.94</v>
      </c>
    </row>
    <row r="20" spans="1:4" x14ac:dyDescent="0.25">
      <c r="A20" s="2" t="str">
        <f>"1.1.1.02.40- Caixa Econômica Federal - 3302-4 Mídia"</f>
        <v>1.1.1.02.40- Caixa Econômica Federal - 3302-4 Mídia</v>
      </c>
      <c r="B20" s="10">
        <v>76906.34</v>
      </c>
      <c r="C20" s="10">
        <v>1490.15</v>
      </c>
      <c r="D20" s="10">
        <v>78396.490000000005</v>
      </c>
    </row>
    <row r="21" spans="1:4" x14ac:dyDescent="0.25">
      <c r="A21" s="2" t="str">
        <f>"1.1.1.02.41- Caixa Econômica Federal - 3303-2Rotativo"</f>
        <v>1.1.1.02.41- Caixa Econômica Federal - 3303-2Rotativo</v>
      </c>
      <c r="B21" s="10">
        <v>372703.17</v>
      </c>
      <c r="C21" s="10">
        <v>-225054.14</v>
      </c>
      <c r="D21" s="10">
        <v>147649.03</v>
      </c>
    </row>
    <row r="22" spans="1:4" x14ac:dyDescent="0.25">
      <c r="A22" s="2" t="str">
        <f>"1.1.1.02.46- Caixa Econômica Federal - 3309-1 Rot int"</f>
        <v>1.1.1.02.46- Caixa Econômica Federal - 3309-1 Rot int</v>
      </c>
      <c r="B22" s="10">
        <v>2378</v>
      </c>
      <c r="C22" s="10">
        <v>264</v>
      </c>
      <c r="D22" s="10">
        <v>2642</v>
      </c>
    </row>
    <row r="23" spans="1:4" x14ac:dyDescent="0.25">
      <c r="A23" s="2" t="str">
        <f>"1.1.1.03.00- APLICACOES FINANCEIRAS"</f>
        <v>1.1.1.03.00- APLICACOES FINANCEIRAS</v>
      </c>
      <c r="B23" s="10">
        <v>10884530.84</v>
      </c>
      <c r="C23" s="10">
        <v>1083792.31</v>
      </c>
      <c r="D23" s="10">
        <v>11968323.15</v>
      </c>
    </row>
    <row r="24" spans="1:4" x14ac:dyDescent="0.25">
      <c r="A24" s="2" t="str">
        <f>"1.1.1.03.23- Caixa Econômica Federal - 3291-5"</f>
        <v>1.1.1.03.23- Caixa Econômica Federal - 3291-5</v>
      </c>
      <c r="B24" s="10">
        <v>9762599.2400000002</v>
      </c>
      <c r="C24" s="10">
        <v>874340.95</v>
      </c>
      <c r="D24" s="10">
        <v>10636940.189999999</v>
      </c>
    </row>
    <row r="25" spans="1:4" x14ac:dyDescent="0.25">
      <c r="A25" s="2" t="str">
        <f>"1.1.1.03.25- Caixa Econômica Federal - 3292-3 Leilão"</f>
        <v>1.1.1.03.25- Caixa Econômica Federal - 3292-3 Leilão</v>
      </c>
      <c r="B25" s="10">
        <v>71038.06</v>
      </c>
      <c r="C25" s="10">
        <v>436.88</v>
      </c>
      <c r="D25" s="10">
        <v>71474.94</v>
      </c>
    </row>
    <row r="26" spans="1:4" x14ac:dyDescent="0.25">
      <c r="A26" s="2" t="str">
        <f>"1.1.1.03.26- Caixa Econômica Federal - 3295-8Leilão13"</f>
        <v>1.1.1.03.26- Caixa Econômica Federal - 3295-8Leilão13</v>
      </c>
      <c r="B26" s="10">
        <v>197438.38</v>
      </c>
      <c r="C26" s="10">
        <v>1214.24</v>
      </c>
      <c r="D26" s="10">
        <v>198652.62</v>
      </c>
    </row>
    <row r="27" spans="1:4" x14ac:dyDescent="0.25">
      <c r="A27" s="2" t="str">
        <f>"1.1.1.03.29- Caixa Econômica Federal - 3298-2Leilão15"</f>
        <v>1.1.1.03.29- Caixa Econômica Federal - 3298-2Leilão15</v>
      </c>
      <c r="B27" s="10">
        <v>97550.03</v>
      </c>
      <c r="C27" s="10">
        <v>529.95000000000005</v>
      </c>
      <c r="D27" s="10">
        <v>98079.98</v>
      </c>
    </row>
    <row r="28" spans="1:4" x14ac:dyDescent="0.25">
      <c r="A28" s="2" t="str">
        <f>"1.1.1.03.30- Caixa Econômica Federal - 3299-0Leilão16"</f>
        <v>1.1.1.03.30- Caixa Econômica Federal - 3299-0Leilão16</v>
      </c>
      <c r="B28" s="10">
        <v>122371.36</v>
      </c>
      <c r="C28" s="10">
        <v>752.58</v>
      </c>
      <c r="D28" s="10">
        <v>123123.94</v>
      </c>
    </row>
    <row r="29" spans="1:4" x14ac:dyDescent="0.25">
      <c r="A29" s="2" t="str">
        <f>"1.1.1.03.31- Caixa Econômica Federal - 3300-8Leilão16"</f>
        <v>1.1.1.03.31- Caixa Econômica Federal - 3300-8Leilão16</v>
      </c>
      <c r="B29" s="10">
        <v>44074.5</v>
      </c>
      <c r="C29" s="10">
        <v>239.44</v>
      </c>
      <c r="D29" s="10">
        <v>44313.94</v>
      </c>
    </row>
    <row r="30" spans="1:4" x14ac:dyDescent="0.25">
      <c r="A30" s="2" t="str">
        <f>"1.1.1.03.32- Caixa Econômica - 3301-6 Mídia"</f>
        <v>1.1.1.03.32- Caixa Econômica - 3301-6 Mídia</v>
      </c>
      <c r="B30" s="10">
        <v>72140.58</v>
      </c>
      <c r="C30" s="10">
        <v>421.74</v>
      </c>
      <c r="D30" s="10">
        <v>72562.320000000007</v>
      </c>
    </row>
    <row r="31" spans="1:4" x14ac:dyDescent="0.25">
      <c r="A31" s="2" t="str">
        <f>"1.1.1.03.35- Caixa Econômica - 3304-0Caução"</f>
        <v>1.1.1.03.35- Caixa Econômica - 3304-0Caução</v>
      </c>
      <c r="B31" s="10">
        <v>415687.61</v>
      </c>
      <c r="C31" s="10">
        <v>5512.99</v>
      </c>
      <c r="D31" s="10">
        <v>421200.6</v>
      </c>
    </row>
    <row r="32" spans="1:4" x14ac:dyDescent="0.25">
      <c r="A32" s="2" t="str">
        <f>"1.1.1.03.36- Caixa Econômica - 3305-9Sucumb."</f>
        <v>1.1.1.03.36- Caixa Econômica - 3305-9Sucumb.</v>
      </c>
      <c r="B32" s="10">
        <v>4551.84</v>
      </c>
      <c r="C32" s="10">
        <v>23.83</v>
      </c>
      <c r="D32" s="10">
        <v>4575.67</v>
      </c>
    </row>
    <row r="33" spans="1:4" x14ac:dyDescent="0.25">
      <c r="A33" s="2" t="str">
        <f>"1.1.1.03.38- Caixa Econômica - 3308-3Leilão"</f>
        <v>1.1.1.03.38- Caixa Econômica - 3308-3Leilão</v>
      </c>
      <c r="B33" s="10">
        <v>2109.98</v>
      </c>
      <c r="C33" s="10">
        <v>11.05</v>
      </c>
      <c r="D33" s="10">
        <v>2121.0300000000002</v>
      </c>
    </row>
    <row r="34" spans="1:4" x14ac:dyDescent="0.25">
      <c r="A34" s="2" t="str">
        <f>"1.1.1.03.41- Caixa Econômica - 531-0 Aci moto poupanç"</f>
        <v>1.1.1.03.41- Caixa Econômica - 531-0 Aci moto poupanç</v>
      </c>
      <c r="B34" s="10">
        <v>4316.6499999999996</v>
      </c>
      <c r="C34" s="10">
        <v>0</v>
      </c>
      <c r="D34" s="10">
        <v>4316.6499999999996</v>
      </c>
    </row>
    <row r="35" spans="1:4" x14ac:dyDescent="0.25">
      <c r="A35" s="2" t="str">
        <f>"1.1.1.03.42- Caixa Econômica - 532-9 Acid Ped Poupanç"</f>
        <v>1.1.1.03.42- Caixa Econômica - 532-9 Acid Ped Poupanç</v>
      </c>
      <c r="B35" s="10">
        <v>3716.25</v>
      </c>
      <c r="C35" s="10">
        <v>0</v>
      </c>
      <c r="D35" s="10">
        <v>3716.25</v>
      </c>
    </row>
    <row r="36" spans="1:4" x14ac:dyDescent="0.25">
      <c r="A36" s="2" t="str">
        <f>"1.1.1.03.43- Caixa Econômica - 534-5 Codemig Poupança"</f>
        <v>1.1.1.03.43- Caixa Econômica - 534-5 Codemig Poupança</v>
      </c>
      <c r="B36" s="10">
        <v>25126.85</v>
      </c>
      <c r="C36" s="10">
        <v>0</v>
      </c>
      <c r="D36" s="10">
        <v>25126.85</v>
      </c>
    </row>
    <row r="37" spans="1:4" x14ac:dyDescent="0.25">
      <c r="A37" s="2" t="str">
        <f>"1.1.1.03.44- Caixa Econômica - 535-3 Turblog Poupança"</f>
        <v>1.1.1.03.44- Caixa Econômica - 535-3 Turblog Poupança</v>
      </c>
      <c r="B37" s="10">
        <v>61809.51</v>
      </c>
      <c r="C37" s="10">
        <v>0</v>
      </c>
      <c r="D37" s="10">
        <v>61809.51</v>
      </c>
    </row>
    <row r="38" spans="1:4" x14ac:dyDescent="0.25">
      <c r="A38" s="2" t="str">
        <f>"1.1.1.03.45- Caixa Econômica Federal - 3393-8Leilão17"</f>
        <v>1.1.1.03.45- Caixa Econômica Federal - 3393-8Leilão17</v>
      </c>
      <c r="B38" s="10">
        <v>0</v>
      </c>
      <c r="C38" s="10">
        <v>200308.66</v>
      </c>
      <c r="D38" s="10">
        <v>200308.66</v>
      </c>
    </row>
    <row r="39" spans="1:4" x14ac:dyDescent="0.25">
      <c r="A39" s="2" t="str">
        <f>"1.1.1.04.00- BANCOS C/VINCULADA-PAMEH"</f>
        <v>1.1.1.04.00- BANCOS C/VINCULADA-PAMEH</v>
      </c>
      <c r="B39" s="10">
        <v>2865081.35</v>
      </c>
      <c r="C39" s="10">
        <v>-63666.34</v>
      </c>
      <c r="D39" s="10">
        <v>2801415.01</v>
      </c>
    </row>
    <row r="40" spans="1:4" x14ac:dyDescent="0.25">
      <c r="A40" s="2" t="str">
        <f>"1.1.1.04.08- Caixa Econômica Federal - 3294-0 Aplic."</f>
        <v>1.1.1.04.08- Caixa Econômica Federal - 3294-0 Aplic.</v>
      </c>
      <c r="B40" s="10">
        <v>2865081.35</v>
      </c>
      <c r="C40" s="10">
        <v>-63666.34</v>
      </c>
      <c r="D40" s="10">
        <v>2801415.01</v>
      </c>
    </row>
    <row r="41" spans="1:4" x14ac:dyDescent="0.25">
      <c r="A41" s="2" t="str">
        <f>"1.1.2.00.00- REALIZAVEL A CURTO PRAZO"</f>
        <v>1.1.2.00.00- REALIZAVEL A CURTO PRAZO</v>
      </c>
      <c r="B41" s="10">
        <v>15822659.449999999</v>
      </c>
      <c r="C41" s="10">
        <v>395486.19</v>
      </c>
      <c r="D41" s="10">
        <v>16218145.640000001</v>
      </c>
    </row>
    <row r="42" spans="1:4" x14ac:dyDescent="0.25">
      <c r="A42" s="2" t="str">
        <f>"1.1.2.01.00- CONTAS A RECEBER"</f>
        <v>1.1.2.01.00- CONTAS A RECEBER</v>
      </c>
      <c r="B42" s="10">
        <v>9066644.7899999991</v>
      </c>
      <c r="C42" s="10">
        <v>353790.82</v>
      </c>
      <c r="D42" s="10">
        <v>9420435.6099999994</v>
      </c>
    </row>
    <row r="43" spans="1:4" x14ac:dyDescent="0.25">
      <c r="A43" s="2" t="str">
        <f>"1.1.2.01.89- Multas Transporte Coletivo"</f>
        <v>1.1.2.01.89- Multas Transporte Coletivo</v>
      </c>
      <c r="B43" s="10">
        <v>10562503.34</v>
      </c>
      <c r="C43" s="10">
        <v>393100.91</v>
      </c>
      <c r="D43" s="10">
        <v>10955604.25</v>
      </c>
    </row>
    <row r="44" spans="1:4" x14ac:dyDescent="0.25">
      <c r="A44" s="2" t="str">
        <f>"1.1.2.01.94- Midia Onibus a Receber"</f>
        <v>1.1.2.01.94- Midia Onibus a Receber</v>
      </c>
      <c r="B44" s="10">
        <v>786491.64</v>
      </c>
      <c r="C44" s="10">
        <v>-532924.30000000005</v>
      </c>
      <c r="D44" s="10">
        <v>253567.34</v>
      </c>
    </row>
    <row r="45" spans="1:4" x14ac:dyDescent="0.25">
      <c r="A45" s="2" t="str">
        <f>"1.1.2.01.99- (-) Provisao para Perdas"</f>
        <v>1.1.2.01.99- (-) Provisao para Perdas</v>
      </c>
      <c r="B45" s="10">
        <v>-2282350.19</v>
      </c>
      <c r="C45" s="10">
        <v>493614.21</v>
      </c>
      <c r="D45" s="10">
        <v>-1788735.98</v>
      </c>
    </row>
    <row r="46" spans="1:4" x14ac:dyDescent="0.25">
      <c r="A46" s="2" t="str">
        <f>"1.1.2.06.00- ADIANTAMENTO A EMPREGADOS"</f>
        <v>1.1.2.06.00- ADIANTAMENTO A EMPREGADOS</v>
      </c>
      <c r="B46" s="10">
        <v>3201599.41</v>
      </c>
      <c r="C46" s="10">
        <v>50279.24</v>
      </c>
      <c r="D46" s="10">
        <v>3251878.65</v>
      </c>
    </row>
    <row r="47" spans="1:4" x14ac:dyDescent="0.25">
      <c r="A47" s="2" t="str">
        <f>"1.1.2.06.01- Adiantamento de Ferias"</f>
        <v>1.1.2.06.01- Adiantamento de Ferias</v>
      </c>
      <c r="B47" s="10">
        <v>626201.05000000005</v>
      </c>
      <c r="C47" s="10">
        <v>48178.65</v>
      </c>
      <c r="D47" s="10">
        <v>674379.7</v>
      </c>
    </row>
    <row r="48" spans="1:4" x14ac:dyDescent="0.25">
      <c r="A48" s="2" t="str">
        <f>"1.1.2.06.02- Adiantamento de 13. Salario"</f>
        <v>1.1.2.06.02- Adiantamento de 13. Salario</v>
      </c>
      <c r="B48" s="10">
        <v>2319660.86</v>
      </c>
      <c r="C48" s="10">
        <v>5064.17</v>
      </c>
      <c r="D48" s="10">
        <v>2324725.0299999998</v>
      </c>
    </row>
    <row r="49" spans="1:4" x14ac:dyDescent="0.25">
      <c r="A49" s="2" t="str">
        <f>"1.1.2.06.03- Adiant. de Salario/Parc. Ferias"</f>
        <v>1.1.2.06.03- Adiant. de Salario/Parc. Ferias</v>
      </c>
      <c r="B49" s="10">
        <v>154959.76999999999</v>
      </c>
      <c r="C49" s="10">
        <v>-12790.51</v>
      </c>
      <c r="D49" s="10">
        <v>142169.26</v>
      </c>
    </row>
    <row r="50" spans="1:4" x14ac:dyDescent="0.25">
      <c r="A50" s="2" t="str">
        <f>"1.1.2.06.07- Adiantamento Pensao s/ Ferias"</f>
        <v>1.1.2.06.07- Adiantamento Pensao s/ Ferias</v>
      </c>
      <c r="B50" s="10">
        <v>100777.73</v>
      </c>
      <c r="C50" s="10">
        <v>9826.93</v>
      </c>
      <c r="D50" s="10">
        <v>110604.66</v>
      </c>
    </row>
    <row r="51" spans="1:4" x14ac:dyDescent="0.25">
      <c r="A51" s="2" t="str">
        <f>"1.1.2.08.00- ALMOXARIFADO"</f>
        <v>1.1.2.08.00- ALMOXARIFADO</v>
      </c>
      <c r="B51" s="10">
        <v>314484.92</v>
      </c>
      <c r="C51" s="10">
        <v>9472.02</v>
      </c>
      <c r="D51" s="10">
        <v>323956.94</v>
      </c>
    </row>
    <row r="52" spans="1:4" x14ac:dyDescent="0.25">
      <c r="A52" s="2" t="str">
        <f>"1.1.2.08.01- Material em Estoque"</f>
        <v>1.1.2.08.01- Material em Estoque</v>
      </c>
      <c r="B52" s="10">
        <v>314484.92</v>
      </c>
      <c r="C52" s="10">
        <v>9472.02</v>
      </c>
      <c r="D52" s="10">
        <v>323956.94</v>
      </c>
    </row>
    <row r="53" spans="1:4" x14ac:dyDescent="0.25">
      <c r="A53" s="2" t="str">
        <f>"1.1.2.10.00- IMPOSTOS E CONTRIB.A RECUPERAR"</f>
        <v>1.1.2.10.00- IMPOSTOS E CONTRIB.A RECUPERAR</v>
      </c>
      <c r="B53" s="10">
        <v>1834751.27</v>
      </c>
      <c r="C53" s="10">
        <v>3423.41</v>
      </c>
      <c r="D53" s="10">
        <v>1838174.68</v>
      </c>
    </row>
    <row r="54" spans="1:4" x14ac:dyDescent="0.25">
      <c r="A54" s="2" t="str">
        <f>"1.1.2.10.01- IR s/Aplicacao Financeira"</f>
        <v>1.1.2.10.01- IR s/Aplicacao Financeira</v>
      </c>
      <c r="B54" s="10">
        <v>454379.59</v>
      </c>
      <c r="C54" s="10">
        <v>3355.18</v>
      </c>
      <c r="D54" s="10">
        <v>457734.77</v>
      </c>
    </row>
    <row r="55" spans="1:4" x14ac:dyDescent="0.25">
      <c r="A55" s="2" t="str">
        <f>"1.1.2.10.08- IRRF a Compensar"</f>
        <v>1.1.2.10.08- IRRF a Compensar</v>
      </c>
      <c r="B55" s="10">
        <v>1454.99</v>
      </c>
      <c r="C55" s="10">
        <v>0</v>
      </c>
      <c r="D55" s="10">
        <v>1454.99</v>
      </c>
    </row>
    <row r="56" spans="1:4" x14ac:dyDescent="0.25">
      <c r="A56" s="2" t="str">
        <f>"1.1.2.10.15- Cofins a Compensar"</f>
        <v>1.1.2.10.15- Cofins a Compensar</v>
      </c>
      <c r="B56" s="10">
        <v>1039251.03</v>
      </c>
      <c r="C56" s="10">
        <v>0.02</v>
      </c>
      <c r="D56" s="10">
        <v>1039251.05</v>
      </c>
    </row>
    <row r="57" spans="1:4" x14ac:dyDescent="0.25">
      <c r="A57" s="2" t="str">
        <f>"1.1.2.10.16- PIS a Compensar"</f>
        <v>1.1.2.10.16- PIS a Compensar</v>
      </c>
      <c r="B57" s="10">
        <v>224393.96</v>
      </c>
      <c r="C57" s="10">
        <v>0</v>
      </c>
      <c r="D57" s="10">
        <v>224393.96</v>
      </c>
    </row>
    <row r="58" spans="1:4" x14ac:dyDescent="0.25">
      <c r="A58" s="2" t="str">
        <f>"1.1.2.10.20- V.M.A PIS a Recuperar"</f>
        <v>1.1.2.10.20- V.M.A PIS a Recuperar</v>
      </c>
      <c r="B58" s="10">
        <v>1239.26</v>
      </c>
      <c r="C58" s="10">
        <v>37.36</v>
      </c>
      <c r="D58" s="10">
        <v>1276.6199999999999</v>
      </c>
    </row>
    <row r="59" spans="1:4" x14ac:dyDescent="0.25">
      <c r="A59" s="2" t="str">
        <f>"1.1.2.10.21- V.M.A IRRF a Compensar"</f>
        <v>1.1.2.10.21- V.M.A IRRF a Compensar</v>
      </c>
      <c r="B59" s="10">
        <v>444.82</v>
      </c>
      <c r="C59" s="10">
        <v>9.2899999999999991</v>
      </c>
      <c r="D59" s="10">
        <v>454.11</v>
      </c>
    </row>
    <row r="60" spans="1:4" x14ac:dyDescent="0.25">
      <c r="A60" s="2" t="str">
        <f>"1.1.2.10.22- V.M.A COFINS a Compensar"</f>
        <v>1.1.2.10.22- V.M.A COFINS a Compensar</v>
      </c>
      <c r="B60" s="10">
        <v>5323.85</v>
      </c>
      <c r="C60" s="10">
        <v>21.56</v>
      </c>
      <c r="D60" s="10">
        <v>5345.41</v>
      </c>
    </row>
    <row r="61" spans="1:4" x14ac:dyDescent="0.25">
      <c r="A61" s="2" t="str">
        <f>"1.1.2.10.25- INSS a recuperar segurados"</f>
        <v>1.1.2.10.25- INSS a recuperar segurados</v>
      </c>
      <c r="B61" s="10">
        <v>108263.77</v>
      </c>
      <c r="C61" s="10">
        <v>0</v>
      </c>
      <c r="D61" s="10">
        <v>108263.77</v>
      </c>
    </row>
    <row r="62" spans="1:4" x14ac:dyDescent="0.25">
      <c r="A62" s="2" t="str">
        <f>"1.1.2.11.00- DESPESAS ANTECIPADAS"</f>
        <v>1.1.2.11.00- DESPESAS ANTECIPADAS</v>
      </c>
      <c r="B62" s="10">
        <v>6685.12</v>
      </c>
      <c r="C62" s="10">
        <v>-175.74</v>
      </c>
      <c r="D62" s="10">
        <v>6509.38</v>
      </c>
    </row>
    <row r="63" spans="1:4" x14ac:dyDescent="0.25">
      <c r="A63" s="2" t="str">
        <f>"1.1.2.11.01- Premios de Seguros a Vencer"</f>
        <v>1.1.2.11.01- Premios de Seguros a Vencer</v>
      </c>
      <c r="B63" s="10">
        <v>6685.12</v>
      </c>
      <c r="C63" s="10">
        <v>-175.74</v>
      </c>
      <c r="D63" s="10">
        <v>6509.38</v>
      </c>
    </row>
    <row r="64" spans="1:4" x14ac:dyDescent="0.25">
      <c r="A64" s="2" t="str">
        <f>"1.1.2.12.00- VALORES VINC.A RECEBER-PAMEH"</f>
        <v>1.1.2.12.00- VALORES VINC.A RECEBER-PAMEH</v>
      </c>
      <c r="B64" s="10">
        <v>732915.54</v>
      </c>
      <c r="C64" s="10">
        <v>-1088.75</v>
      </c>
      <c r="D64" s="10">
        <v>731826.79</v>
      </c>
    </row>
    <row r="65" spans="1:4" x14ac:dyDescent="0.25">
      <c r="A65" s="2" t="str">
        <f>"1.1.2.12.01- Valores Vinculados-PAMEH"</f>
        <v>1.1.2.12.01- Valores Vinculados-PAMEH</v>
      </c>
      <c r="B65" s="10">
        <v>732915.54</v>
      </c>
      <c r="C65" s="10">
        <v>-1088.75</v>
      </c>
      <c r="D65" s="10">
        <v>731826.79</v>
      </c>
    </row>
    <row r="66" spans="1:4" x14ac:dyDescent="0.25">
      <c r="A66" s="2" t="str">
        <f>"1.1.2.14.00- CONTAS TRANSITORIAS - GRUPO ATIVO"</f>
        <v>1.1.2.14.00- CONTAS TRANSITORIAS - GRUPO ATIVO</v>
      </c>
      <c r="B66" s="10">
        <v>659207.75</v>
      </c>
      <c r="C66" s="10">
        <v>-23754.06</v>
      </c>
      <c r="D66" s="10">
        <v>635453.68999999994</v>
      </c>
    </row>
    <row r="67" spans="1:4" x14ac:dyDescent="0.25">
      <c r="A67" s="2" t="str">
        <f>"1.1.2.14.05- Transitoria Folha de Pagamento"</f>
        <v>1.1.2.14.05- Transitoria Folha de Pagamento</v>
      </c>
      <c r="B67" s="10">
        <v>659207.75</v>
      </c>
      <c r="C67" s="10">
        <v>-23754.06</v>
      </c>
      <c r="D67" s="10">
        <v>635453.68999999994</v>
      </c>
    </row>
    <row r="68" spans="1:4" x14ac:dyDescent="0.25">
      <c r="A68" s="2" t="str">
        <f>"1.1.2.15.00- CARNE ESTACIONAMENTO ROTATIVO"</f>
        <v>1.1.2.15.00- CARNE ESTACIONAMENTO ROTATIVO</v>
      </c>
      <c r="B68" s="10">
        <v>6370.65</v>
      </c>
      <c r="C68" s="10">
        <v>3539.25</v>
      </c>
      <c r="D68" s="10">
        <v>9909.9</v>
      </c>
    </row>
    <row r="69" spans="1:4" x14ac:dyDescent="0.25">
      <c r="A69" s="2" t="str">
        <f>"1.1.2.15.01- Carne Rotativo"</f>
        <v>1.1.2.15.01- Carne Rotativo</v>
      </c>
      <c r="B69" s="10">
        <v>6370.65</v>
      </c>
      <c r="C69" s="10">
        <v>3539.25</v>
      </c>
      <c r="D69" s="10">
        <v>9909.9</v>
      </c>
    </row>
    <row r="70" spans="1:4" x14ac:dyDescent="0.25">
      <c r="A70" s="2" t="str">
        <f>"1.2.0.00.00- ATIVO NAO CIRCULANTE"</f>
        <v>1.2.0.00.00- ATIVO NAO CIRCULANTE</v>
      </c>
      <c r="B70" s="10">
        <v>11741071.01</v>
      </c>
      <c r="C70" s="10">
        <v>706495.64</v>
      </c>
      <c r="D70" s="10">
        <v>12447566.65</v>
      </c>
    </row>
    <row r="71" spans="1:4" x14ac:dyDescent="0.25">
      <c r="A71" s="2" t="str">
        <f>"1.2.1.00.00- REALIZAVEL A LONGO PRAZO"</f>
        <v>1.2.1.00.00- REALIZAVEL A LONGO PRAZO</v>
      </c>
      <c r="B71" s="10">
        <v>9603849.5099999998</v>
      </c>
      <c r="C71" s="10">
        <v>728152.69</v>
      </c>
      <c r="D71" s="10">
        <v>10332002.199999999</v>
      </c>
    </row>
    <row r="72" spans="1:4" x14ac:dyDescent="0.25">
      <c r="A72" s="2" t="str">
        <f>"1.2.1.01.00- CREDITOS E VALORES A RECEBER"</f>
        <v>1.2.1.01.00- CREDITOS E VALORES A RECEBER</v>
      </c>
      <c r="B72" s="10">
        <v>9603849.5099999998</v>
      </c>
      <c r="C72" s="10">
        <v>728152.69</v>
      </c>
      <c r="D72" s="10">
        <v>10332002.199999999</v>
      </c>
    </row>
    <row r="73" spans="1:4" x14ac:dyDescent="0.25">
      <c r="A73" s="2" t="str">
        <f>"1.2.1.01.01- Depositos Judiciais"</f>
        <v>1.2.1.01.01- Depositos Judiciais</v>
      </c>
      <c r="B73" s="10">
        <v>3768584.26</v>
      </c>
      <c r="C73" s="10">
        <v>728152.69</v>
      </c>
      <c r="D73" s="10">
        <v>4496736.95</v>
      </c>
    </row>
    <row r="74" spans="1:4" x14ac:dyDescent="0.25">
      <c r="A74" s="2" t="str">
        <f>"1.2.1.01.03- Depositos Judiciais de Terceiros"</f>
        <v>1.2.1.01.03- Depositos Judiciais de Terceiros</v>
      </c>
      <c r="B74" s="10">
        <v>357770.4</v>
      </c>
      <c r="C74" s="10">
        <v>0</v>
      </c>
      <c r="D74" s="10">
        <v>357770.4</v>
      </c>
    </row>
    <row r="75" spans="1:4" x14ac:dyDescent="0.25">
      <c r="A75" s="2" t="str">
        <f>"1.2.1.01.04- Convenio Prefeitura Betim"</f>
        <v>1.2.1.01.04- Convenio Prefeitura Betim</v>
      </c>
      <c r="B75" s="10">
        <v>21463.9</v>
      </c>
      <c r="C75" s="10">
        <v>0</v>
      </c>
      <c r="D75" s="10">
        <v>21463.9</v>
      </c>
    </row>
    <row r="76" spans="1:4" x14ac:dyDescent="0.25">
      <c r="A76" s="2" t="str">
        <f>"1.2.1.01.05- Convenio IPSEMG"</f>
        <v>1.2.1.01.05- Convenio IPSEMG</v>
      </c>
      <c r="B76" s="10">
        <v>21163.53</v>
      </c>
      <c r="C76" s="10">
        <v>0</v>
      </c>
      <c r="D76" s="10">
        <v>21163.53</v>
      </c>
    </row>
    <row r="77" spans="1:4" x14ac:dyDescent="0.25">
      <c r="A77" s="2" t="str">
        <f>"1.2.1.01.06- Multas Transporte Coletivo"</f>
        <v>1.2.1.01.06- Multas Transporte Coletivo</v>
      </c>
      <c r="B77" s="10">
        <v>5434867.4199999999</v>
      </c>
      <c r="C77" s="10">
        <v>0</v>
      </c>
      <c r="D77" s="10">
        <v>5434867.4199999999</v>
      </c>
    </row>
    <row r="78" spans="1:4" x14ac:dyDescent="0.25">
      <c r="A78" s="2" t="str">
        <f>"1.3.1.00.00- INVESTIMENTOS"</f>
        <v>1.3.1.00.00- INVESTIMENTOS</v>
      </c>
      <c r="B78" s="10">
        <v>26070</v>
      </c>
      <c r="C78" s="10">
        <v>0</v>
      </c>
      <c r="D78" s="10">
        <v>26070</v>
      </c>
    </row>
    <row r="79" spans="1:4" x14ac:dyDescent="0.25">
      <c r="A79" s="2" t="str">
        <f>"1.3.1.01.00- OUTROS INVESTIMENTOS"</f>
        <v>1.3.1.01.00- OUTROS INVESTIMENTOS</v>
      </c>
      <c r="B79" s="10">
        <v>26070</v>
      </c>
      <c r="C79" s="10">
        <v>0</v>
      </c>
      <c r="D79" s="10">
        <v>26070</v>
      </c>
    </row>
    <row r="80" spans="1:4" x14ac:dyDescent="0.25">
      <c r="A80" s="2" t="str">
        <f>"1.3.1.01.01- Obras de Arte"</f>
        <v>1.3.1.01.01- Obras de Arte</v>
      </c>
      <c r="B80" s="10">
        <v>25200</v>
      </c>
      <c r="C80" s="10">
        <v>0</v>
      </c>
      <c r="D80" s="10">
        <v>25200</v>
      </c>
    </row>
    <row r="81" spans="1:4" x14ac:dyDescent="0.25">
      <c r="A81" s="2" t="str">
        <f>"1.3.1.01.02- Participações Societárias - PBH ATIVOS"</f>
        <v>1.3.1.01.02- Participações Societárias - PBH ATIVOS</v>
      </c>
      <c r="B81" s="10">
        <v>870</v>
      </c>
      <c r="C81" s="10">
        <v>0</v>
      </c>
      <c r="D81" s="10">
        <v>870</v>
      </c>
    </row>
    <row r="82" spans="1:4" x14ac:dyDescent="0.25">
      <c r="A82" s="2" t="str">
        <f>"1.3.2.00.00- IMOBILIZADO"</f>
        <v>1.3.2.00.00- IMOBILIZADO</v>
      </c>
      <c r="B82" s="10">
        <v>6844845.4500000002</v>
      </c>
      <c r="C82" s="10">
        <v>-995</v>
      </c>
      <c r="D82" s="10">
        <v>6843850.4500000002</v>
      </c>
    </row>
    <row r="83" spans="1:4" x14ac:dyDescent="0.25">
      <c r="A83" s="2" t="str">
        <f>"1.3.2.01.01- Maquinas e equipamentos"</f>
        <v>1.3.2.01.01- Maquinas e equipamentos</v>
      </c>
      <c r="B83" s="10">
        <v>242005.46</v>
      </c>
      <c r="C83" s="10">
        <v>0</v>
      </c>
      <c r="D83" s="10">
        <v>242005.46</v>
      </c>
    </row>
    <row r="84" spans="1:4" x14ac:dyDescent="0.25">
      <c r="A84" s="2" t="str">
        <f>"1.3.2.02.01- Ferramentas"</f>
        <v>1.3.2.02.01- Ferramentas</v>
      </c>
      <c r="B84" s="10">
        <v>9104.81</v>
      </c>
      <c r="C84" s="10">
        <v>0</v>
      </c>
      <c r="D84" s="10">
        <v>9104.81</v>
      </c>
    </row>
    <row r="85" spans="1:4" x14ac:dyDescent="0.25">
      <c r="A85" s="2" t="str">
        <f>"1.3.2.03.01- Equipamentos de comunicacao"</f>
        <v>1.3.2.03.01- Equipamentos de comunicacao</v>
      </c>
      <c r="B85" s="10">
        <v>172167.01</v>
      </c>
      <c r="C85" s="10">
        <v>0</v>
      </c>
      <c r="D85" s="10">
        <v>172167.01</v>
      </c>
    </row>
    <row r="86" spans="1:4" x14ac:dyDescent="0.25">
      <c r="A86" s="2" t="str">
        <f>"1.3.2.04.01- Instalacoes"</f>
        <v>1.3.2.04.01- Instalacoes</v>
      </c>
      <c r="B86" s="10">
        <v>85222.9</v>
      </c>
      <c r="C86" s="10">
        <v>0</v>
      </c>
      <c r="D86" s="10">
        <v>85222.9</v>
      </c>
    </row>
    <row r="87" spans="1:4" x14ac:dyDescent="0.25">
      <c r="A87" s="2" t="str">
        <f>"1.3.2.06.01- Moveis e utensilios"</f>
        <v>1.3.2.06.01- Moveis e utensilios</v>
      </c>
      <c r="B87" s="10">
        <v>537591.49</v>
      </c>
      <c r="C87" s="10">
        <v>-995</v>
      </c>
      <c r="D87" s="10">
        <v>536596.49</v>
      </c>
    </row>
    <row r="88" spans="1:4" x14ac:dyDescent="0.25">
      <c r="A88" s="2" t="str">
        <f>"1.3.2.08.01- Instalacoes administrativas"</f>
        <v>1.3.2.08.01- Instalacoes administrativas</v>
      </c>
      <c r="B88" s="10">
        <v>99146.34</v>
      </c>
      <c r="C88" s="10">
        <v>0</v>
      </c>
      <c r="D88" s="10">
        <v>99146.34</v>
      </c>
    </row>
    <row r="89" spans="1:4" x14ac:dyDescent="0.25">
      <c r="A89" s="2" t="str">
        <f>"1.3.2.09.01- Aparelhos/equipamentos diversos"</f>
        <v>1.3.2.09.01- Aparelhos/equipamentos diversos</v>
      </c>
      <c r="B89" s="10">
        <v>600752.32999999996</v>
      </c>
      <c r="C89" s="10">
        <v>0</v>
      </c>
      <c r="D89" s="10">
        <v>600752.32999999996</v>
      </c>
    </row>
    <row r="90" spans="1:4" x14ac:dyDescent="0.25">
      <c r="A90" s="2" t="str">
        <f>"1.3.2.10.01- Equip. p/ processamento de dados"</f>
        <v>1.3.2.10.01- Equip. p/ processamento de dados</v>
      </c>
      <c r="B90" s="10">
        <v>696029.05</v>
      </c>
      <c r="C90" s="10">
        <v>0</v>
      </c>
      <c r="D90" s="10">
        <v>696029.05</v>
      </c>
    </row>
    <row r="91" spans="1:4" x14ac:dyDescent="0.25">
      <c r="A91" s="2" t="str">
        <f>"1.3.2.12.01- Micros/impressoras e acessorios"</f>
        <v>1.3.2.12.01- Micros/impressoras e acessorios</v>
      </c>
      <c r="B91" s="10">
        <v>2685441.68</v>
      </c>
      <c r="C91" s="10">
        <v>0</v>
      </c>
      <c r="D91" s="10">
        <v>2685441.68</v>
      </c>
    </row>
    <row r="92" spans="1:4" x14ac:dyDescent="0.25">
      <c r="A92" s="2" t="str">
        <f>"1.3.2.13.01- Imobilizacao em imoveis de terceiros"</f>
        <v>1.3.2.13.01- Imobilizacao em imoveis de terceiros</v>
      </c>
      <c r="B92" s="10">
        <v>1673924.44</v>
      </c>
      <c r="C92" s="10">
        <v>0</v>
      </c>
      <c r="D92" s="10">
        <v>1673924.44</v>
      </c>
    </row>
    <row r="93" spans="1:4" x14ac:dyDescent="0.25">
      <c r="A93" s="2" t="str">
        <f>"1.3.2.14.02- Estacao pampulha"</f>
        <v>1.3.2.14.02- Estacao pampulha</v>
      </c>
      <c r="B93" s="10">
        <v>43459.94</v>
      </c>
      <c r="C93" s="10">
        <v>0</v>
      </c>
      <c r="D93" s="10">
        <v>43459.94</v>
      </c>
    </row>
    <row r="94" spans="1:4" x14ac:dyDescent="0.25">
      <c r="A94" s="2" t="str">
        <f>"1.3.3.00.00- INTANGIVEL"</f>
        <v>1.3.3.00.00- INTANGIVEL</v>
      </c>
      <c r="B94" s="10">
        <v>891461.55</v>
      </c>
      <c r="C94" s="10">
        <v>0</v>
      </c>
      <c r="D94" s="10">
        <v>891461.55</v>
      </c>
    </row>
    <row r="95" spans="1:4" x14ac:dyDescent="0.25">
      <c r="A95" s="2" t="str">
        <f>"1.3.3.03.00- MARCAS E PATENTES"</f>
        <v>1.3.3.03.00- MARCAS E PATENTES</v>
      </c>
      <c r="B95" s="10">
        <v>1106</v>
      </c>
      <c r="C95" s="10">
        <v>0</v>
      </c>
      <c r="D95" s="10">
        <v>1106</v>
      </c>
    </row>
    <row r="96" spans="1:4" x14ac:dyDescent="0.25">
      <c r="A96" s="2" t="str">
        <f>"1.3.3.03.01- Marcas e Patentes"</f>
        <v>1.3.3.03.01- Marcas e Patentes</v>
      </c>
      <c r="B96" s="10">
        <v>1106</v>
      </c>
      <c r="C96" s="10">
        <v>0</v>
      </c>
      <c r="D96" s="10">
        <v>1106</v>
      </c>
    </row>
    <row r="97" spans="1:4" x14ac:dyDescent="0.25">
      <c r="A97" s="2" t="str">
        <f>"1.3.3.04.01- Programas e Sistemas"</f>
        <v>1.3.3.04.01- Programas e Sistemas</v>
      </c>
      <c r="B97" s="10">
        <v>890355.55</v>
      </c>
      <c r="C97" s="10">
        <v>0</v>
      </c>
      <c r="D97" s="10">
        <v>890355.55</v>
      </c>
    </row>
    <row r="98" spans="1:4" x14ac:dyDescent="0.25">
      <c r="A98" s="2" t="str">
        <f>"1.3.5.00.00- ( - )DEPRECIACAO E AMORTIZACAO"</f>
        <v>1.3.5.00.00- ( - )DEPRECIACAO E AMORTIZACAO</v>
      </c>
      <c r="B98" s="10">
        <v>-5625155.5</v>
      </c>
      <c r="C98" s="10">
        <v>-20662.05</v>
      </c>
      <c r="D98" s="10">
        <v>-5645817.5499999998</v>
      </c>
    </row>
    <row r="99" spans="1:4" x14ac:dyDescent="0.25">
      <c r="A99" s="2" t="str">
        <f>"1.3.5.01.00- ( - ) DEPRECIACAO E AMORTIZACAO"</f>
        <v>1.3.5.01.00- ( - ) DEPRECIACAO E AMORTIZACAO</v>
      </c>
      <c r="B99" s="10">
        <v>-5625155.5</v>
      </c>
      <c r="C99" s="10">
        <v>-20662.05</v>
      </c>
      <c r="D99" s="10">
        <v>-5645817.5499999998</v>
      </c>
    </row>
    <row r="100" spans="1:4" x14ac:dyDescent="0.25">
      <c r="A100" s="2" t="str">
        <f>"1.3.5.01.01- ( - ) Moveis e Utensilios"</f>
        <v>1.3.5.01.01- ( - ) Moveis e Utensilios</v>
      </c>
      <c r="B100" s="10">
        <v>-436141.12</v>
      </c>
      <c r="C100" s="10">
        <v>-1460.6</v>
      </c>
      <c r="D100" s="10">
        <v>-437601.72</v>
      </c>
    </row>
    <row r="101" spans="1:4" x14ac:dyDescent="0.25">
      <c r="A101" s="2" t="str">
        <f>"1.3.5.01.02- ( - ) Aparelhos/Equipamentos Diversos"</f>
        <v>1.3.5.01.02- ( - ) Aparelhos/Equipamentos Diversos</v>
      </c>
      <c r="B101" s="10">
        <v>-351980.86</v>
      </c>
      <c r="C101" s="10">
        <v>-3746.66</v>
      </c>
      <c r="D101" s="10">
        <v>-355727.52</v>
      </c>
    </row>
    <row r="102" spans="1:4" x14ac:dyDescent="0.25">
      <c r="A102" s="2" t="str">
        <f>"1.3.5.01.03- ( - ) Instalacoes Administrativas"</f>
        <v>1.3.5.01.03- ( - ) Instalacoes Administrativas</v>
      </c>
      <c r="B102" s="10">
        <v>-98803.63</v>
      </c>
      <c r="C102" s="10">
        <v>-71.22</v>
      </c>
      <c r="D102" s="10">
        <v>-98874.85</v>
      </c>
    </row>
    <row r="103" spans="1:4" x14ac:dyDescent="0.25">
      <c r="A103" s="2" t="str">
        <f>"1.3.5.01.05- ( - ) Impressoras e Micros"</f>
        <v>1.3.5.01.05- ( - ) Impressoras e Micros</v>
      </c>
      <c r="B103" s="10">
        <v>-2622381.64</v>
      </c>
      <c r="C103" s="10">
        <v>-7284.57</v>
      </c>
      <c r="D103" s="10">
        <v>-2629666.21</v>
      </c>
    </row>
    <row r="104" spans="1:4" x14ac:dyDescent="0.25">
      <c r="A104" s="2" t="str">
        <f>"1.3.5.01.06- ( - ) Maquinas e Equipamentos"</f>
        <v>1.3.5.01.06- ( - ) Maquinas e Equipamentos</v>
      </c>
      <c r="B104" s="10">
        <v>-151650.17000000001</v>
      </c>
      <c r="C104" s="10">
        <v>-1499.51</v>
      </c>
      <c r="D104" s="10">
        <v>-153149.68</v>
      </c>
    </row>
    <row r="105" spans="1:4" x14ac:dyDescent="0.25">
      <c r="A105" s="2" t="str">
        <f>"1.3.5.01.07- ( - ) Equipamentos de Comunicacao"</f>
        <v>1.3.5.01.07- ( - ) Equipamentos de Comunicacao</v>
      </c>
      <c r="B105" s="10">
        <v>-171738.07</v>
      </c>
      <c r="C105" s="10">
        <v>-78.02</v>
      </c>
      <c r="D105" s="10">
        <v>-171816.09</v>
      </c>
    </row>
    <row r="106" spans="1:4" x14ac:dyDescent="0.25">
      <c r="A106" s="2" t="str">
        <f>"1.3.5.01.08- ( - ) Instalacoes Operacionais"</f>
        <v>1.3.5.01.08- ( - ) Instalacoes Operacionais</v>
      </c>
      <c r="B106" s="10">
        <v>-65598.570000000007</v>
      </c>
      <c r="C106" s="10">
        <v>-272.37</v>
      </c>
      <c r="D106" s="10">
        <v>-65870.94</v>
      </c>
    </row>
    <row r="107" spans="1:4" x14ac:dyDescent="0.25">
      <c r="A107" s="2" t="str">
        <f>"1.3.5.01.09- ( - ) Programas (Softwares)"</f>
        <v>1.3.5.01.09- ( - ) Programas (Softwares)</v>
      </c>
      <c r="B107" s="10">
        <v>-636984.63</v>
      </c>
      <c r="C107" s="10">
        <v>-612.5</v>
      </c>
      <c r="D107" s="10">
        <v>-637597.13</v>
      </c>
    </row>
    <row r="108" spans="1:4" x14ac:dyDescent="0.25">
      <c r="A108" s="2" t="str">
        <f>"1.3.5.01.14- ( - ) Ferramentas"</f>
        <v>1.3.5.01.14- ( - ) Ferramentas</v>
      </c>
      <c r="B108" s="10">
        <v>-6979.57</v>
      </c>
      <c r="C108" s="10">
        <v>-56.85</v>
      </c>
      <c r="D108" s="10">
        <v>-7036.42</v>
      </c>
    </row>
    <row r="109" spans="1:4" x14ac:dyDescent="0.25">
      <c r="A109" s="2" t="str">
        <f>"1.3.5.01.15- ( - ) Imobilizacoes em Imov. Terceiros"</f>
        <v>1.3.5.01.15- ( - ) Imobilizacoes em Imov. Terceiros</v>
      </c>
      <c r="B109" s="10">
        <v>-1082897.24</v>
      </c>
      <c r="C109" s="10">
        <v>-5579.75</v>
      </c>
      <c r="D109" s="10">
        <v>-1088476.99</v>
      </c>
    </row>
    <row r="110" spans="1:4" x14ac:dyDescent="0.25">
      <c r="A110" s="2" t="str">
        <f>""</f>
        <v/>
      </c>
      <c r="B110" s="3" t="str">
        <f>""</f>
        <v/>
      </c>
      <c r="C110" s="3" t="str">
        <f>""</f>
        <v/>
      </c>
      <c r="D110" s="3" t="str">
        <f>""</f>
        <v/>
      </c>
    </row>
    <row r="111" spans="1:4" x14ac:dyDescent="0.25">
      <c r="A111" s="2" t="str">
        <f>"PASSIVO"</f>
        <v>PASSIVO</v>
      </c>
      <c r="B111" s="3" t="str">
        <f>""</f>
        <v/>
      </c>
      <c r="C111" s="3" t="str">
        <f>""</f>
        <v/>
      </c>
      <c r="D111" s="3" t="str">
        <f>""</f>
        <v/>
      </c>
    </row>
    <row r="112" spans="1:4" x14ac:dyDescent="0.25">
      <c r="A112" s="2" t="str">
        <f>"2.0.0.00.00- PASSIVO"</f>
        <v>2.0.0.00.00- PASSIVO</v>
      </c>
      <c r="B112" s="10">
        <v>43858787.390000001</v>
      </c>
      <c r="C112" s="10">
        <v>2137868.2599999998</v>
      </c>
      <c r="D112" s="10">
        <v>45996655.649999999</v>
      </c>
    </row>
    <row r="113" spans="1:4" x14ac:dyDescent="0.25">
      <c r="A113" s="2" t="str">
        <f>"2.1.0.00.00- PASSIVO CIRCULANTE"</f>
        <v>2.1.0.00.00- PASSIVO CIRCULANTE</v>
      </c>
      <c r="B113" s="10">
        <v>68479386.540000007</v>
      </c>
      <c r="C113" s="10">
        <v>2252921.39</v>
      </c>
      <c r="D113" s="10">
        <v>70732307.930000007</v>
      </c>
    </row>
    <row r="114" spans="1:4" x14ac:dyDescent="0.25">
      <c r="A114" s="2" t="str">
        <f>"2.1.1.00.00- OBRIGACOES COM PESSOAL"</f>
        <v>2.1.1.00.00- OBRIGACOES COM PESSOAL</v>
      </c>
      <c r="B114" s="10">
        <v>24244787.920000002</v>
      </c>
      <c r="C114" s="10">
        <v>-367807.21</v>
      </c>
      <c r="D114" s="10">
        <v>23876980.710000001</v>
      </c>
    </row>
    <row r="115" spans="1:4" x14ac:dyDescent="0.25">
      <c r="A115" s="2" t="str">
        <f>"2.1.1.01.00- SALARIOS A PAGAR"</f>
        <v>2.1.1.01.00- SALARIOS A PAGAR</v>
      </c>
      <c r="B115" s="10">
        <v>24244787.920000002</v>
      </c>
      <c r="C115" s="10">
        <v>-367807.21</v>
      </c>
      <c r="D115" s="10">
        <v>23876980.710000001</v>
      </c>
    </row>
    <row r="116" spans="1:4" x14ac:dyDescent="0.25">
      <c r="A116" s="2" t="str">
        <f>"2.1.1.01.01- Salarios a Pagar"</f>
        <v>2.1.1.01.01- Salarios a Pagar</v>
      </c>
      <c r="B116" s="10">
        <v>4833087.67</v>
      </c>
      <c r="C116" s="10">
        <v>67439.839999999997</v>
      </c>
      <c r="D116" s="10">
        <v>4900527.51</v>
      </c>
    </row>
    <row r="117" spans="1:4" x14ac:dyDescent="0.25">
      <c r="A117" s="2" t="str">
        <f>"2.1.1.01.02- Provisão 13º Salário"</f>
        <v>2.1.1.01.02- Provisão 13º Salário</v>
      </c>
      <c r="B117" s="10">
        <v>3552067.35</v>
      </c>
      <c r="C117" s="10">
        <v>437559.93</v>
      </c>
      <c r="D117" s="10">
        <v>3989627.28</v>
      </c>
    </row>
    <row r="118" spans="1:4" x14ac:dyDescent="0.25">
      <c r="A118" s="2" t="str">
        <f>"2.1.1.01.03- Ferias a pagar"</f>
        <v>2.1.1.01.03- Ferias a pagar</v>
      </c>
      <c r="B118" s="10">
        <v>235632.17</v>
      </c>
      <c r="C118" s="10">
        <v>-123139.6</v>
      </c>
      <c r="D118" s="10">
        <v>112492.57</v>
      </c>
    </row>
    <row r="119" spans="1:4" x14ac:dyDescent="0.25">
      <c r="A119" s="2" t="str">
        <f>"2.1.1.01.05- Rescisoes a Pagar"</f>
        <v>2.1.1.01.05- Rescisoes a Pagar</v>
      </c>
      <c r="B119" s="10">
        <v>49463.28</v>
      </c>
      <c r="C119" s="10">
        <v>-26540.19</v>
      </c>
      <c r="D119" s="10">
        <v>22923.09</v>
      </c>
    </row>
    <row r="120" spans="1:4" x14ac:dyDescent="0.25">
      <c r="A120" s="2" t="str">
        <f>"2.1.1.01.09- Provisao de Ferias"</f>
        <v>2.1.1.01.09- Provisao de Ferias</v>
      </c>
      <c r="B120" s="10">
        <v>6816494.8099999996</v>
      </c>
      <c r="C120" s="10">
        <v>239534.05</v>
      </c>
      <c r="D120" s="10">
        <v>7056028.8600000003</v>
      </c>
    </row>
    <row r="121" spans="1:4" x14ac:dyDescent="0.25">
      <c r="A121" s="2" t="str">
        <f>"2.1.1.01.11- Indenizações trabalhistas - ACT"</f>
        <v>2.1.1.01.11- Indenizações trabalhistas - ACT</v>
      </c>
      <c r="B121" s="10">
        <v>8758042.6400000006</v>
      </c>
      <c r="C121" s="10">
        <v>-962661.24</v>
      </c>
      <c r="D121" s="10">
        <v>7795381.4000000004</v>
      </c>
    </row>
    <row r="122" spans="1:4" x14ac:dyDescent="0.25">
      <c r="A122" s="2" t="str">
        <f>"2.1.2.00.00- OBRIGACOES SOCIAIS A CURTO PRAZO"</f>
        <v>2.1.2.00.00- OBRIGACOES SOCIAIS A CURTO PRAZO</v>
      </c>
      <c r="B122" s="10">
        <v>7200495.6699999999</v>
      </c>
      <c r="C122" s="10">
        <v>246251.55</v>
      </c>
      <c r="D122" s="10">
        <v>7446747.2199999997</v>
      </c>
    </row>
    <row r="123" spans="1:4" x14ac:dyDescent="0.25">
      <c r="A123" s="2" t="str">
        <f>"2.1.2.01.00- OBRIGACOES SOCIAIS A RECOLHER"</f>
        <v>2.1.2.01.00- OBRIGACOES SOCIAIS A RECOLHER</v>
      </c>
      <c r="B123" s="10">
        <v>7200495.6699999999</v>
      </c>
      <c r="C123" s="10">
        <v>246251.55</v>
      </c>
      <c r="D123" s="10">
        <v>7446747.2199999997</v>
      </c>
    </row>
    <row r="124" spans="1:4" x14ac:dyDescent="0.25">
      <c r="A124" s="2" t="str">
        <f>"2.1.2.01.01- INSS a recolher s/Folha Pagto"</f>
        <v>2.1.2.01.01- INSS a recolher s/Folha Pagto</v>
      </c>
      <c r="B124" s="10">
        <v>2363314.58</v>
      </c>
      <c r="C124" s="10">
        <v>-10904.53</v>
      </c>
      <c r="D124" s="10">
        <v>2352410.0499999998</v>
      </c>
    </row>
    <row r="125" spans="1:4" x14ac:dyDescent="0.25">
      <c r="A125" s="2" t="str">
        <f>"2.1.2.01.02- FGTS a recolher s/Folha Pagto"</f>
        <v>2.1.2.01.02- FGTS a recolher s/Folha Pagto</v>
      </c>
      <c r="B125" s="10">
        <v>527797.27</v>
      </c>
      <c r="C125" s="10">
        <v>-10321.73</v>
      </c>
      <c r="D125" s="10">
        <v>517475.54</v>
      </c>
    </row>
    <row r="126" spans="1:4" x14ac:dyDescent="0.25">
      <c r="A126" s="2" t="str">
        <f>"2.1.2.01.05- Contribuicao Sindical"</f>
        <v>2.1.2.01.05- Contribuicao Sindical</v>
      </c>
      <c r="B126" s="10">
        <v>8159.97</v>
      </c>
      <c r="C126" s="10">
        <v>-138.62</v>
      </c>
      <c r="D126" s="10">
        <v>8021.35</v>
      </c>
    </row>
    <row r="127" spans="1:4" x14ac:dyDescent="0.25">
      <c r="A127" s="2" t="str">
        <f>"2.1.2.01.06- INSS s/Provisao de Ferias"</f>
        <v>2.1.2.01.06- INSS s/Provisao de Ferias</v>
      </c>
      <c r="B127" s="10">
        <v>1980887.11</v>
      </c>
      <c r="C127" s="10">
        <v>71039.28</v>
      </c>
      <c r="D127" s="10">
        <v>2051926.39</v>
      </c>
    </row>
    <row r="128" spans="1:4" x14ac:dyDescent="0.25">
      <c r="A128" s="2" t="str">
        <f>"2.1.2.01.07- AEB - Assoc. Empreg. BHTRANS"</f>
        <v>2.1.2.01.07- AEB - Assoc. Empreg. BHTRANS</v>
      </c>
      <c r="B128" s="10">
        <v>4957.1400000000003</v>
      </c>
      <c r="C128" s="10">
        <v>-31.67</v>
      </c>
      <c r="D128" s="10">
        <v>4925.47</v>
      </c>
    </row>
    <row r="129" spans="1:4" x14ac:dyDescent="0.25">
      <c r="A129" s="2" t="str">
        <f>"2.1.2.01.09- INSS a Recolher s/Autonomos"</f>
        <v>2.1.2.01.09- INSS a Recolher s/Autonomos</v>
      </c>
      <c r="B129" s="10">
        <v>1480.12</v>
      </c>
      <c r="C129" s="10">
        <v>-1480.12</v>
      </c>
      <c r="D129" s="10">
        <v>0</v>
      </c>
    </row>
    <row r="130" spans="1:4" x14ac:dyDescent="0.25">
      <c r="A130" s="2" t="str">
        <f>"2.1.2.01.10- INSS s/Provisao de 13.Salario"</f>
        <v>2.1.2.01.10- INSS s/Provisao de 13.Salario</v>
      </c>
      <c r="B130" s="10">
        <v>1034774.74</v>
      </c>
      <c r="C130" s="10">
        <v>127778.01</v>
      </c>
      <c r="D130" s="10">
        <v>1162552.75</v>
      </c>
    </row>
    <row r="131" spans="1:4" x14ac:dyDescent="0.25">
      <c r="A131" s="2" t="str">
        <f>"2.1.2.01.11- FGTS s/Provisao de 13.Salario"</f>
        <v>2.1.2.01.11- FGTS s/Provisao de 13.Salario</v>
      </c>
      <c r="B131" s="10">
        <v>104713.37</v>
      </c>
      <c r="C131" s="10">
        <v>32435.599999999999</v>
      </c>
      <c r="D131" s="10">
        <v>137148.97</v>
      </c>
    </row>
    <row r="132" spans="1:4" x14ac:dyDescent="0.25">
      <c r="A132" s="2" t="str">
        <f>"2.1.2.01.12- FGTS s/Provisao de Ferias"</f>
        <v>2.1.2.01.12- FGTS s/Provisao de Ferias</v>
      </c>
      <c r="B132" s="10">
        <v>544345.73</v>
      </c>
      <c r="C132" s="10">
        <v>19160.330000000002</v>
      </c>
      <c r="D132" s="10">
        <v>563506.06000000006</v>
      </c>
    </row>
    <row r="133" spans="1:4" x14ac:dyDescent="0.25">
      <c r="A133" s="2" t="str">
        <f>"2.1.2.01.13- Contribuicao ao PAMEH"</f>
        <v>2.1.2.01.13- Contribuicao ao PAMEH</v>
      </c>
      <c r="B133" s="10">
        <v>457861.46</v>
      </c>
      <c r="C133" s="10">
        <v>-1318.68</v>
      </c>
      <c r="D133" s="10">
        <v>456542.78</v>
      </c>
    </row>
    <row r="134" spans="1:4" x14ac:dyDescent="0.25">
      <c r="A134" s="2" t="str">
        <f>"2.1.2.01.15- Crediserv-BH"</f>
        <v>2.1.2.01.15- Crediserv-BH</v>
      </c>
      <c r="B134" s="10">
        <v>18246.63</v>
      </c>
      <c r="C134" s="10">
        <v>83.21</v>
      </c>
      <c r="D134" s="10">
        <v>18329.84</v>
      </c>
    </row>
    <row r="135" spans="1:4" x14ac:dyDescent="0.25">
      <c r="A135" s="2" t="str">
        <f>"2.1.2.01.16- INSS Fonte a Recolher - PJ"</f>
        <v>2.1.2.01.16- INSS Fonte a Recolher - PJ</v>
      </c>
      <c r="B135" s="10">
        <v>152707.81</v>
      </c>
      <c r="C135" s="10">
        <v>19826.080000000002</v>
      </c>
      <c r="D135" s="10">
        <v>172533.89</v>
      </c>
    </row>
    <row r="136" spans="1:4" x14ac:dyDescent="0.25">
      <c r="A136" s="2" t="str">
        <f>"2.1.2.01.18- INSS Fonte a Recolher - P F"</f>
        <v>2.1.2.01.18- INSS Fonte a Recolher - P F</v>
      </c>
      <c r="B136" s="10">
        <v>709.74</v>
      </c>
      <c r="C136" s="10">
        <v>124.39</v>
      </c>
      <c r="D136" s="10">
        <v>834.13</v>
      </c>
    </row>
    <row r="137" spans="1:4" x14ac:dyDescent="0.25">
      <c r="A137" s="2" t="str">
        <f>"2.1.2.01.19- ASFIM - PBH"</f>
        <v>2.1.2.01.19- ASFIM - PBH</v>
      </c>
      <c r="B137" s="10">
        <v>540</v>
      </c>
      <c r="C137" s="10">
        <v>0</v>
      </c>
      <c r="D137" s="10">
        <v>540</v>
      </c>
    </row>
    <row r="138" spans="1:4" x14ac:dyDescent="0.25">
      <c r="A138" s="2" t="str">
        <f>"2.1.3.00.00- OBRIGACOES FISCAIS A CURTO PRAZO"</f>
        <v>2.1.3.00.00- OBRIGACOES FISCAIS A CURTO PRAZO</v>
      </c>
      <c r="B138" s="10">
        <v>1678575.28</v>
      </c>
      <c r="C138" s="10">
        <v>37606.28</v>
      </c>
      <c r="D138" s="10">
        <v>1716181.56</v>
      </c>
    </row>
    <row r="139" spans="1:4" x14ac:dyDescent="0.25">
      <c r="A139" s="2" t="str">
        <f>"2.1.3.01.00- IMPOSTOS E TAXAS A RECOLHER"</f>
        <v>2.1.3.01.00- IMPOSTOS E TAXAS A RECOLHER</v>
      </c>
      <c r="B139" s="10">
        <v>1678575.28</v>
      </c>
      <c r="C139" s="10">
        <v>37606.28</v>
      </c>
      <c r="D139" s="10">
        <v>1716181.56</v>
      </c>
    </row>
    <row r="140" spans="1:4" x14ac:dyDescent="0.25">
      <c r="A140" s="2" t="str">
        <f>"2.1.3.01.01- IRRF Fonte Folha Pagto"</f>
        <v>2.1.3.01.01- IRRF Fonte Folha Pagto</v>
      </c>
      <c r="B140" s="10">
        <v>659727.31999999995</v>
      </c>
      <c r="C140" s="10">
        <v>81044.09</v>
      </c>
      <c r="D140" s="10">
        <v>740771.41</v>
      </c>
    </row>
    <row r="141" spans="1:4" x14ac:dyDescent="0.25">
      <c r="A141" s="2" t="str">
        <f>"2.1.3.01.03- IRRF Fonte - Pessoa  Juridica e Física"</f>
        <v>2.1.3.01.03- IRRF Fonte - Pessoa  Juridica e Física</v>
      </c>
      <c r="B141" s="10">
        <v>17768.14</v>
      </c>
      <c r="C141" s="10">
        <v>-2212.56</v>
      </c>
      <c r="D141" s="10">
        <v>15555.58</v>
      </c>
    </row>
    <row r="142" spans="1:4" x14ac:dyDescent="0.25">
      <c r="A142" s="2" t="str">
        <f>"2.1.3.01.04- ISS Retido Fonte PF"</f>
        <v>2.1.3.01.04- ISS Retido Fonte PF</v>
      </c>
      <c r="B142" s="10">
        <v>4.58</v>
      </c>
      <c r="C142" s="10">
        <v>-4.58</v>
      </c>
      <c r="D142" s="10">
        <v>0</v>
      </c>
    </row>
    <row r="143" spans="1:4" x14ac:dyDescent="0.25">
      <c r="A143" s="2" t="str">
        <f>"2.1.3.01.05- ISS S/ Faturamento"</f>
        <v>2.1.3.01.05- ISS S/ Faturamento</v>
      </c>
      <c r="B143" s="10">
        <v>2650.12</v>
      </c>
      <c r="C143" s="10">
        <v>13.8</v>
      </c>
      <c r="D143" s="10">
        <v>2663.92</v>
      </c>
    </row>
    <row r="144" spans="1:4" x14ac:dyDescent="0.25">
      <c r="A144" s="2" t="str">
        <f>"2.1.3.01.07- COFINS a Recolher"</f>
        <v>2.1.3.01.07- COFINS a Recolher</v>
      </c>
      <c r="B144" s="10">
        <v>745065.61</v>
      </c>
      <c r="C144" s="10">
        <v>-28702.27</v>
      </c>
      <c r="D144" s="10">
        <v>716363.34</v>
      </c>
    </row>
    <row r="145" spans="1:4" x14ac:dyDescent="0.25">
      <c r="A145" s="2" t="str">
        <f>"2.1.3.01.08- PIS a Recolher"</f>
        <v>2.1.3.01.08- PIS a Recolher</v>
      </c>
      <c r="B145" s="10">
        <v>161510.1</v>
      </c>
      <c r="C145" s="10">
        <v>-6208.78</v>
      </c>
      <c r="D145" s="10">
        <v>155301.32</v>
      </c>
    </row>
    <row r="146" spans="1:4" x14ac:dyDescent="0.25">
      <c r="A146" s="2" t="str">
        <f>"2.1.3.01.09- ISS Fonte a Recolher P.Juridica"</f>
        <v>2.1.3.01.09- ISS Fonte a Recolher P.Juridica</v>
      </c>
      <c r="B146" s="10">
        <v>3815.21</v>
      </c>
      <c r="C146" s="10">
        <v>-2002.51</v>
      </c>
      <c r="D146" s="10">
        <v>1812.7</v>
      </c>
    </row>
    <row r="147" spans="1:4" x14ac:dyDescent="0.25">
      <c r="A147" s="2" t="str">
        <f>"2.1.3.01.12- CSLL-COFINS-PIS - FONTE"</f>
        <v>2.1.3.01.12- CSLL-COFINS-PIS - FONTE</v>
      </c>
      <c r="B147" s="10">
        <v>88034.2</v>
      </c>
      <c r="C147" s="10">
        <v>-4320.91</v>
      </c>
      <c r="D147" s="10">
        <v>83713.289999999994</v>
      </c>
    </row>
    <row r="148" spans="1:4" x14ac:dyDescent="0.25">
      <c r="A148" s="2" t="str">
        <f>"2.1.4.00.00- OUTRAS OBRIGACOES A CURTO PRAZO"</f>
        <v>2.1.4.00.00- OUTRAS OBRIGACOES A CURTO PRAZO</v>
      </c>
      <c r="B148" s="10">
        <v>35259815.880000003</v>
      </c>
      <c r="C148" s="10">
        <v>2320889.08</v>
      </c>
      <c r="D148" s="10">
        <v>37580704.960000001</v>
      </c>
    </row>
    <row r="149" spans="1:4" x14ac:dyDescent="0.25">
      <c r="A149" s="2" t="str">
        <f>"2.1.4.01.00- FORNECEDORES"</f>
        <v>2.1.4.01.00- FORNECEDORES</v>
      </c>
      <c r="B149" s="10">
        <v>2769339.23</v>
      </c>
      <c r="C149" s="10">
        <v>110973.8</v>
      </c>
      <c r="D149" s="10">
        <v>2880313.03</v>
      </c>
    </row>
    <row r="150" spans="1:4" x14ac:dyDescent="0.25">
      <c r="A150" s="2" t="str">
        <f>"2.1.4.01.99- Fornecedores"</f>
        <v>2.1.4.01.99- Fornecedores</v>
      </c>
      <c r="B150" s="10">
        <v>2769339.23</v>
      </c>
      <c r="C150" s="10">
        <v>110973.8</v>
      </c>
      <c r="D150" s="10">
        <v>2880313.03</v>
      </c>
    </row>
    <row r="151" spans="1:4" x14ac:dyDescent="0.25">
      <c r="A151" s="2" t="str">
        <f>"2.1.4.02.00- CONTAS A PAGAR"</f>
        <v>2.1.4.02.00- CONTAS A PAGAR</v>
      </c>
      <c r="B151" s="10">
        <v>310568.59000000003</v>
      </c>
      <c r="C151" s="10">
        <v>98648.639999999999</v>
      </c>
      <c r="D151" s="10">
        <v>409217.23</v>
      </c>
    </row>
    <row r="152" spans="1:4" x14ac:dyDescent="0.25">
      <c r="A152" s="2" t="str">
        <f>"2.1.4.02.01- Emprestimo Consignado - Bradesco"</f>
        <v>2.1.4.02.01- Emprestimo Consignado - Bradesco</v>
      </c>
      <c r="B152" s="10">
        <v>81588.820000000007</v>
      </c>
      <c r="C152" s="10">
        <v>10740.7</v>
      </c>
      <c r="D152" s="10">
        <v>92329.52</v>
      </c>
    </row>
    <row r="153" spans="1:4" x14ac:dyDescent="0.25">
      <c r="A153" s="2" t="str">
        <f>"2.1.4.02.03- Emprestimo Consignado - CEF"</f>
        <v>2.1.4.02.03- Emprestimo Consignado - CEF</v>
      </c>
      <c r="B153" s="10">
        <v>36036.57</v>
      </c>
      <c r="C153" s="10">
        <v>-1178.99</v>
      </c>
      <c r="D153" s="10">
        <v>34857.58</v>
      </c>
    </row>
    <row r="154" spans="1:4" x14ac:dyDescent="0.25">
      <c r="A154" s="2" t="str">
        <f>"2.1.4.02.04- Emprestimo Consignado - B.Brasil"</f>
        <v>2.1.4.02.04- Emprestimo Consignado - B.Brasil</v>
      </c>
      <c r="B154" s="10">
        <v>79138.509999999995</v>
      </c>
      <c r="C154" s="10">
        <v>-20843.400000000001</v>
      </c>
      <c r="D154" s="10">
        <v>58295.11</v>
      </c>
    </row>
    <row r="155" spans="1:4" x14ac:dyDescent="0.25">
      <c r="A155" s="2" t="str">
        <f>"2.1.4.02.05- Emprestimo Consignado-Banco Alfa"</f>
        <v>2.1.4.02.05- Emprestimo Consignado-Banco Alfa</v>
      </c>
      <c r="B155" s="10">
        <v>70319.399999999994</v>
      </c>
      <c r="C155" s="10">
        <v>808.96</v>
      </c>
      <c r="D155" s="10">
        <v>71128.36</v>
      </c>
    </row>
    <row r="156" spans="1:4" x14ac:dyDescent="0.25">
      <c r="A156" s="2" t="str">
        <f>"2.1.4.02.07- Emprestimo Consignado - B. Safra"</f>
        <v>2.1.4.02.07- Emprestimo Consignado - B. Safra</v>
      </c>
      <c r="B156" s="10">
        <v>17462.98</v>
      </c>
      <c r="C156" s="10">
        <v>-757.51</v>
      </c>
      <c r="D156" s="10">
        <v>16705.47</v>
      </c>
    </row>
    <row r="157" spans="1:4" x14ac:dyDescent="0.25">
      <c r="A157" s="2" t="str">
        <f>"2.1.4.02.08- Emprestimo Consignado - BMG"</f>
        <v>2.1.4.02.08- Emprestimo Consignado - BMG</v>
      </c>
      <c r="B157" s="10">
        <v>141.55000000000001</v>
      </c>
      <c r="C157" s="10">
        <v>0</v>
      </c>
      <c r="D157" s="10">
        <v>141.55000000000001</v>
      </c>
    </row>
    <row r="158" spans="1:4" x14ac:dyDescent="0.25">
      <c r="A158" s="2" t="str">
        <f>"2.1.4.02.09- Emprestimo Consignado - BMC"</f>
        <v>2.1.4.02.09- Emprestimo Consignado - BMC</v>
      </c>
      <c r="B158" s="10">
        <v>1000.35</v>
      </c>
      <c r="C158" s="10">
        <v>0</v>
      </c>
      <c r="D158" s="10">
        <v>1000.35</v>
      </c>
    </row>
    <row r="159" spans="1:4" x14ac:dyDescent="0.25">
      <c r="A159" s="2" t="str">
        <f>"2.1.4.02.10- Cartão - BMG Card"</f>
        <v>2.1.4.02.10- Cartão - BMG Card</v>
      </c>
      <c r="B159" s="10">
        <v>7582.98</v>
      </c>
      <c r="C159" s="10">
        <v>-53.51</v>
      </c>
      <c r="D159" s="10">
        <v>7529.47</v>
      </c>
    </row>
    <row r="160" spans="1:4" x14ac:dyDescent="0.25">
      <c r="A160" s="2" t="str">
        <f>"2.1.4.02.11- Contrib.Entid.Classe"</f>
        <v>2.1.4.02.11- Contrib.Entid.Classe</v>
      </c>
      <c r="B160" s="10">
        <v>81.53</v>
      </c>
      <c r="C160" s="10">
        <v>-81.53</v>
      </c>
      <c r="D160" s="10">
        <v>0</v>
      </c>
    </row>
    <row r="161" spans="1:4" x14ac:dyDescent="0.25">
      <c r="A161" s="2" t="str">
        <f>"2.1.4.02.12- Custas judiciais"</f>
        <v>2.1.4.02.12- Custas judiciais</v>
      </c>
      <c r="B161" s="10">
        <v>1873.12</v>
      </c>
      <c r="C161" s="10">
        <v>-578.83000000000004</v>
      </c>
      <c r="D161" s="10">
        <v>1294.29</v>
      </c>
    </row>
    <row r="162" spans="1:4" x14ac:dyDescent="0.25">
      <c r="A162" s="2" t="str">
        <f>"2.1.4.02.99- Contas a Pagar"</f>
        <v>2.1.4.02.99- Contas a Pagar</v>
      </c>
      <c r="B162" s="10">
        <v>15342.78</v>
      </c>
      <c r="C162" s="10">
        <v>110592.75</v>
      </c>
      <c r="D162" s="10">
        <v>125935.53</v>
      </c>
    </row>
    <row r="163" spans="1:4" x14ac:dyDescent="0.25">
      <c r="A163" s="2" t="str">
        <f>"2.1.4.03.00- CREDORES DIVERSOS"</f>
        <v>2.1.4.03.00- CREDORES DIVERSOS</v>
      </c>
      <c r="B163" s="10">
        <v>31623430.18</v>
      </c>
      <c r="C163" s="10">
        <v>1908270.94</v>
      </c>
      <c r="D163" s="10">
        <v>33531701.120000001</v>
      </c>
    </row>
    <row r="164" spans="1:4" x14ac:dyDescent="0.25">
      <c r="A164" s="2" t="str">
        <f>"2.1.4.03.07- Adiantamento Acionista - Municipio BH"</f>
        <v>2.1.4.03.07- Adiantamento Acionista - Municipio BH</v>
      </c>
      <c r="B164" s="10">
        <v>30683818.260000002</v>
      </c>
      <c r="C164" s="10">
        <v>1924349.23</v>
      </c>
      <c r="D164" s="10">
        <v>32608167.489999998</v>
      </c>
    </row>
    <row r="165" spans="1:4" x14ac:dyDescent="0.25">
      <c r="A165" s="2" t="str">
        <f>"2.1.4.03.17- Adiantamento de Clientes"</f>
        <v>2.1.4.03.17- Adiantamento de Clientes</v>
      </c>
      <c r="B165" s="10">
        <v>939611.92</v>
      </c>
      <c r="C165" s="10">
        <v>-16078.29</v>
      </c>
      <c r="D165" s="10">
        <v>923533.63</v>
      </c>
    </row>
    <row r="166" spans="1:4" x14ac:dyDescent="0.25">
      <c r="A166" s="2" t="str">
        <f>"2.1.4.04.00- CAUCAO DE TERCEIROS/LEILAO"</f>
        <v>2.1.4.04.00- CAUCAO DE TERCEIROS/LEILAO</v>
      </c>
      <c r="B166" s="10">
        <v>556477.88</v>
      </c>
      <c r="C166" s="10">
        <v>202995.7</v>
      </c>
      <c r="D166" s="10">
        <v>759473.58</v>
      </c>
    </row>
    <row r="167" spans="1:4" x14ac:dyDescent="0.25">
      <c r="A167" s="2" t="str">
        <f>"2.1.4.04.98- Leilões"</f>
        <v>2.1.4.04.98- Leilões</v>
      </c>
      <c r="B167" s="10">
        <v>373057.34</v>
      </c>
      <c r="C167" s="10">
        <v>199806.7</v>
      </c>
      <c r="D167" s="10">
        <v>572864.04</v>
      </c>
    </row>
    <row r="168" spans="1:4" x14ac:dyDescent="0.25">
      <c r="A168" s="2" t="str">
        <f>"2.1.4.04.99- Caucao de Terceiros"</f>
        <v>2.1.4.04.99- Caucao de Terceiros</v>
      </c>
      <c r="B168" s="10">
        <v>183420.54</v>
      </c>
      <c r="C168" s="10">
        <v>3189</v>
      </c>
      <c r="D168" s="10">
        <v>186609.54</v>
      </c>
    </row>
    <row r="169" spans="1:4" x14ac:dyDescent="0.25">
      <c r="A169" s="2" t="str">
        <f>"2.1.6.00.00- OBRIGACOES VINC. A PAGAR-PAMEH"</f>
        <v>2.1.6.00.00- OBRIGACOES VINC. A PAGAR-PAMEH</v>
      </c>
      <c r="B169" s="10">
        <v>95711.79</v>
      </c>
      <c r="C169" s="10">
        <v>15981.69</v>
      </c>
      <c r="D169" s="10">
        <v>111693.48</v>
      </c>
    </row>
    <row r="170" spans="1:4" x14ac:dyDescent="0.25">
      <c r="A170" s="2" t="str">
        <f>"2.1.6.01.00- OBRIGACOES VINC. -PAMEH"</f>
        <v>2.1.6.01.00- OBRIGACOES VINC. -PAMEH</v>
      </c>
      <c r="B170" s="10">
        <v>95711.79</v>
      </c>
      <c r="C170" s="10">
        <v>15981.69</v>
      </c>
      <c r="D170" s="10">
        <v>111693.48</v>
      </c>
    </row>
    <row r="171" spans="1:4" x14ac:dyDescent="0.25">
      <c r="A171" s="2" t="str">
        <f>"2.1.6.01.01- Obrigacoes Vinculadas - PAMEH"</f>
        <v>2.1.6.01.01- Obrigacoes Vinculadas - PAMEH</v>
      </c>
      <c r="B171" s="10">
        <v>95711.79</v>
      </c>
      <c r="C171" s="10">
        <v>15981.69</v>
      </c>
      <c r="D171" s="10">
        <v>111693.48</v>
      </c>
    </row>
    <row r="172" spans="1:4" x14ac:dyDescent="0.25">
      <c r="A172" s="2" t="str">
        <f>"2.2.0.00.00- PASSIVO NAO CIRCULANTE"</f>
        <v>2.2.0.00.00- PASSIVO NAO CIRCULANTE</v>
      </c>
      <c r="B172" s="10">
        <v>39340467.469999999</v>
      </c>
      <c r="C172" s="10">
        <v>-115053.13</v>
      </c>
      <c r="D172" s="10">
        <v>39225414.340000004</v>
      </c>
    </row>
    <row r="173" spans="1:4" x14ac:dyDescent="0.25">
      <c r="A173" s="2" t="str">
        <f>"2.2.4.00.00- OUTRAS OBRIGACOES A LONGO PRAZO"</f>
        <v>2.2.4.00.00- OUTRAS OBRIGACOES A LONGO PRAZO</v>
      </c>
      <c r="B173" s="10">
        <v>35574860.670000002</v>
      </c>
      <c r="C173" s="10">
        <v>-34316.35</v>
      </c>
      <c r="D173" s="10">
        <v>35540544.32</v>
      </c>
    </row>
    <row r="174" spans="1:4" x14ac:dyDescent="0.25">
      <c r="A174" s="2" t="str">
        <f>"2.2.4.01.00- CREDORES DIVERSOS"</f>
        <v>2.2.4.01.00- CREDORES DIVERSOS</v>
      </c>
      <c r="B174" s="10">
        <v>15048557.66</v>
      </c>
      <c r="C174" s="10">
        <v>0</v>
      </c>
      <c r="D174" s="10">
        <v>15048557.66</v>
      </c>
    </row>
    <row r="175" spans="1:4" x14ac:dyDescent="0.25">
      <c r="A175" s="2" t="str">
        <f>"2.2.4.01.04- Provisão para Contingências Fiscais"</f>
        <v>2.2.4.01.04- Provisão para Contingências Fiscais</v>
      </c>
      <c r="B175" s="10">
        <v>14106702.720000001</v>
      </c>
      <c r="C175" s="10">
        <v>0</v>
      </c>
      <c r="D175" s="10">
        <v>14106702.720000001</v>
      </c>
    </row>
    <row r="176" spans="1:4" x14ac:dyDescent="0.25">
      <c r="A176" s="2" t="str">
        <f>"2.2.4.01.05- INSS Segurados"</f>
        <v>2.2.4.01.05- INSS Segurados</v>
      </c>
      <c r="B176" s="10">
        <v>941854.94</v>
      </c>
      <c r="C176" s="10">
        <v>0</v>
      </c>
      <c r="D176" s="10">
        <v>941854.94</v>
      </c>
    </row>
    <row r="177" spans="1:4" x14ac:dyDescent="0.25">
      <c r="A177" s="2" t="str">
        <f>"2.2.4.04.00- ACOES JUDICIAIS E TRABALHISTAS"</f>
        <v>2.2.4.04.00- ACOES JUDICIAIS E TRABALHISTAS</v>
      </c>
      <c r="B177" s="10">
        <v>20526303.010000002</v>
      </c>
      <c r="C177" s="10">
        <v>-34316.35</v>
      </c>
      <c r="D177" s="10">
        <v>20491986.66</v>
      </c>
    </row>
    <row r="178" spans="1:4" x14ac:dyDescent="0.25">
      <c r="A178" s="2" t="str">
        <f>"2.2.4.04.01- Acoes judiciais"</f>
        <v>2.2.4.04.01- Acoes judiciais</v>
      </c>
      <c r="B178" s="10">
        <v>16361887.84</v>
      </c>
      <c r="C178" s="10">
        <v>0</v>
      </c>
      <c r="D178" s="10">
        <v>16361887.84</v>
      </c>
    </row>
    <row r="179" spans="1:4" x14ac:dyDescent="0.25">
      <c r="A179" s="2" t="str">
        <f>"2.2.4.04.02- Acoes trabalhistas"</f>
        <v>2.2.4.04.02- Acoes trabalhistas</v>
      </c>
      <c r="B179" s="10">
        <v>4164415.17</v>
      </c>
      <c r="C179" s="10">
        <v>-34316.35</v>
      </c>
      <c r="D179" s="10">
        <v>4130098.82</v>
      </c>
    </row>
    <row r="180" spans="1:4" x14ac:dyDescent="0.25">
      <c r="A180" s="2" t="str">
        <f>"2.2.5.00.00- OBRIGACOES VINC.  AO PAMEH"</f>
        <v>2.2.5.00.00- OBRIGACOES VINC.  AO PAMEH</v>
      </c>
      <c r="B180" s="10">
        <v>3765606.8</v>
      </c>
      <c r="C180" s="10">
        <v>-80736.78</v>
      </c>
      <c r="D180" s="10">
        <v>3684870.02</v>
      </c>
    </row>
    <row r="181" spans="1:4" x14ac:dyDescent="0.25">
      <c r="A181" s="2" t="str">
        <f>"2.2.5.01.00- OBRIGACOES VINC.  AO PAMEH"</f>
        <v>2.2.5.01.00- OBRIGACOES VINC.  AO PAMEH</v>
      </c>
      <c r="B181" s="10">
        <v>3765606.8</v>
      </c>
      <c r="C181" s="10">
        <v>-80736.78</v>
      </c>
      <c r="D181" s="10">
        <v>3684870.02</v>
      </c>
    </row>
    <row r="182" spans="1:4" x14ac:dyDescent="0.25">
      <c r="A182" s="2" t="str">
        <f>"2.2.5.01.01- Resultado Exerc.Anteriores-PAMEH"</f>
        <v>2.2.5.01.01- Resultado Exerc.Anteriores-PAMEH</v>
      </c>
      <c r="B182" s="10">
        <v>3457128.18</v>
      </c>
      <c r="C182" s="10">
        <v>0</v>
      </c>
      <c r="D182" s="10">
        <v>3457128.18</v>
      </c>
    </row>
    <row r="183" spans="1:4" x14ac:dyDescent="0.25">
      <c r="A183" s="2" t="str">
        <f>"2.2.5.01.02- Resultado deste Exercicio-PAMEH"</f>
        <v>2.2.5.01.02- Resultado deste Exercicio-PAMEH</v>
      </c>
      <c r="B183" s="10">
        <v>-1281463.1499999999</v>
      </c>
      <c r="C183" s="10">
        <v>-80736.78</v>
      </c>
      <c r="D183" s="10">
        <v>-1362199.93</v>
      </c>
    </row>
    <row r="184" spans="1:4" x14ac:dyDescent="0.25">
      <c r="A184" s="2" t="str">
        <f>"2.2.5.01.03- Ajuste Exercício Anterior - PAMEH"</f>
        <v>2.2.5.01.03- Ajuste Exercício Anterior - PAMEH</v>
      </c>
      <c r="B184" s="10">
        <v>1589941.77</v>
      </c>
      <c r="C184" s="10">
        <v>0</v>
      </c>
      <c r="D184" s="10">
        <v>1589941.77</v>
      </c>
    </row>
    <row r="185" spans="1:4" x14ac:dyDescent="0.25">
      <c r="A185" s="2" t="str">
        <f>"2.4.0.00.00- PATRIMONIO LIQUIDO"</f>
        <v>2.4.0.00.00- PATRIMONIO LIQUIDO</v>
      </c>
      <c r="B185" s="10">
        <v>-63961066.619999997</v>
      </c>
      <c r="C185" s="10">
        <v>0</v>
      </c>
      <c r="D185" s="10">
        <v>-63961066.619999997</v>
      </c>
    </row>
    <row r="186" spans="1:4" x14ac:dyDescent="0.25">
      <c r="A186" s="2" t="str">
        <f>"2.4.1.00.00- CAPITAL SOCIAL"</f>
        <v>2.4.1.00.00- CAPITAL SOCIAL</v>
      </c>
      <c r="B186" s="10">
        <v>67418193.159999996</v>
      </c>
      <c r="C186" s="10">
        <v>0</v>
      </c>
      <c r="D186" s="10">
        <v>67418193.159999996</v>
      </c>
    </row>
    <row r="187" spans="1:4" x14ac:dyDescent="0.25">
      <c r="A187" s="2" t="str">
        <f>"2.4.1.02.00- CAPITAL REALIZADO"</f>
        <v>2.4.1.02.00- CAPITAL REALIZADO</v>
      </c>
      <c r="B187" s="10">
        <v>67418193.159999996</v>
      </c>
      <c r="C187" s="10">
        <v>0</v>
      </c>
      <c r="D187" s="10">
        <v>67418193.159999996</v>
      </c>
    </row>
    <row r="188" spans="1:4" x14ac:dyDescent="0.25">
      <c r="A188" s="2" t="str">
        <f>"2.4.1.02.01- Capital Subscrito"</f>
        <v>2.4.1.02.01- Capital Subscrito</v>
      </c>
      <c r="B188" s="10">
        <v>75000000</v>
      </c>
      <c r="C188" s="10">
        <v>0</v>
      </c>
      <c r="D188" s="10">
        <v>75000000</v>
      </c>
    </row>
    <row r="189" spans="1:4" x14ac:dyDescent="0.25">
      <c r="A189" s="2" t="str">
        <f>"2.4.1.02.04- Capital a Realizar"</f>
        <v>2.4.1.02.04- Capital a Realizar</v>
      </c>
      <c r="B189" s="10">
        <v>-7581806.8399999999</v>
      </c>
      <c r="C189" s="10">
        <v>0</v>
      </c>
      <c r="D189" s="10">
        <v>-7581806.8399999999</v>
      </c>
    </row>
    <row r="190" spans="1:4" x14ac:dyDescent="0.25">
      <c r="A190" s="2" t="str">
        <f>"2.4.3.00.00- RESULTADOS ACUMULADOS"</f>
        <v>2.4.3.00.00- RESULTADOS ACUMULADOS</v>
      </c>
      <c r="B190" s="10">
        <v>-131379259.78</v>
      </c>
      <c r="C190" s="10">
        <v>0</v>
      </c>
      <c r="D190" s="10">
        <v>-131379259.78</v>
      </c>
    </row>
    <row r="191" spans="1:4" x14ac:dyDescent="0.25">
      <c r="A191" s="2" t="str">
        <f>"2.4.3.01.00- LUCROS/PREJUIZOS ACUMULADOS"</f>
        <v>2.4.3.01.00- LUCROS/PREJUIZOS ACUMULADOS</v>
      </c>
      <c r="B191" s="10">
        <v>-131379259.78</v>
      </c>
      <c r="C191" s="10">
        <v>0</v>
      </c>
      <c r="D191" s="10">
        <v>-131379259.78</v>
      </c>
    </row>
    <row r="192" spans="1:4" x14ac:dyDescent="0.25">
      <c r="A192" s="2" t="str">
        <f>"2.4.3.01.01- Resultados de Exerc. Anteriores"</f>
        <v>2.4.3.01.01- Resultados de Exerc. Anteriores</v>
      </c>
      <c r="B192" s="10">
        <v>-131329846.40000001</v>
      </c>
      <c r="C192" s="10">
        <v>0</v>
      </c>
      <c r="D192" s="10">
        <v>-131329846.40000001</v>
      </c>
    </row>
    <row r="193" spans="1:4" x14ac:dyDescent="0.25">
      <c r="A193" s="2" t="str">
        <f>"2.4.3.01.03- Ajuste do Exercicio Anterior"</f>
        <v>2.4.3.01.03- Ajuste do Exercicio Anterior</v>
      </c>
      <c r="B193" s="10">
        <v>-49413.38</v>
      </c>
      <c r="C193" s="10">
        <v>0</v>
      </c>
      <c r="D193" s="10">
        <v>-49413.38</v>
      </c>
    </row>
    <row r="194" spans="1:4" x14ac:dyDescent="0.25">
      <c r="A194" s="2" t="str">
        <f>""</f>
        <v/>
      </c>
      <c r="B194" s="3" t="str">
        <f>""</f>
        <v/>
      </c>
      <c r="C194" s="3" t="str">
        <f>""</f>
        <v/>
      </c>
      <c r="D194" s="3" t="str">
        <f>""</f>
        <v/>
      </c>
    </row>
    <row r="195" spans="1:4" x14ac:dyDescent="0.25">
      <c r="A195" s="2" t="str">
        <f>""</f>
        <v/>
      </c>
      <c r="B195" s="3" t="str">
        <f>""</f>
        <v/>
      </c>
      <c r="C195" s="3" t="str">
        <f>""</f>
        <v/>
      </c>
      <c r="D195" s="3" t="str">
        <f>""</f>
        <v/>
      </c>
    </row>
    <row r="196" spans="1:4" x14ac:dyDescent="0.25">
      <c r="A196" s="2" t="str">
        <f>""</f>
        <v/>
      </c>
      <c r="B196" s="3" t="str">
        <f>""</f>
        <v/>
      </c>
      <c r="C196" s="3" t="str">
        <f>""</f>
        <v/>
      </c>
      <c r="D196" s="3" t="str">
        <f>""</f>
        <v/>
      </c>
    </row>
    <row r="197" spans="1:4" x14ac:dyDescent="0.25">
      <c r="A197" s="2" t="str">
        <f>""</f>
        <v/>
      </c>
      <c r="B197" s="3" t="str">
        <f>""</f>
        <v/>
      </c>
      <c r="C197" s="3" t="str">
        <f>""</f>
        <v/>
      </c>
      <c r="D197" s="3" t="str">
        <f>""</f>
        <v/>
      </c>
    </row>
    <row r="198" spans="1:4" x14ac:dyDescent="0.25">
      <c r="A198" s="2" t="str">
        <f>""</f>
        <v/>
      </c>
      <c r="B198" s="3" t="str">
        <f>""</f>
        <v/>
      </c>
      <c r="C198" s="3" t="str">
        <f>""</f>
        <v/>
      </c>
      <c r="D198" s="3" t="str">
        <f>""</f>
        <v/>
      </c>
    </row>
    <row r="199" spans="1:4" x14ac:dyDescent="0.25">
      <c r="A199" s="2" t="str">
        <f>""</f>
        <v/>
      </c>
      <c r="B199" s="3" t="str">
        <f>""</f>
        <v/>
      </c>
      <c r="C199" s="3" t="str">
        <f>""</f>
        <v/>
      </c>
      <c r="D199" s="3" t="str">
        <f>""</f>
        <v/>
      </c>
    </row>
    <row r="200" spans="1:4" x14ac:dyDescent="0.25">
      <c r="A200" s="2" t="str">
        <f>""</f>
        <v/>
      </c>
      <c r="B200" s="3" t="str">
        <f>""</f>
        <v/>
      </c>
      <c r="C200" s="3" t="str">
        <f>""</f>
        <v/>
      </c>
      <c r="D200" s="3" t="str">
        <f>""</f>
        <v/>
      </c>
    </row>
    <row r="201" spans="1:4" x14ac:dyDescent="0.25">
      <c r="A201" s="2" t="str">
        <f>"DESPESAS"</f>
        <v>DESPESAS</v>
      </c>
      <c r="B201" s="3" t="str">
        <f>""</f>
        <v/>
      </c>
      <c r="C201" s="3" t="str">
        <f>""</f>
        <v/>
      </c>
      <c r="D201" s="3" t="str">
        <f>""</f>
        <v/>
      </c>
    </row>
    <row r="202" spans="1:4" x14ac:dyDescent="0.25">
      <c r="A202" s="2" t="str">
        <f>"3.0.0.00.00- DESPESAS"</f>
        <v>3.0.0.00.00- DESPESAS</v>
      </c>
      <c r="B202" s="10">
        <v>101762020.38</v>
      </c>
      <c r="C202" s="10">
        <v>12730108.779999999</v>
      </c>
      <c r="D202" s="10">
        <v>114492129.16</v>
      </c>
    </row>
    <row r="203" spans="1:4" x14ac:dyDescent="0.25">
      <c r="A203" s="2" t="str">
        <f>"3.1.0.00.00- DESPESAS OPERACIONAIS"</f>
        <v>3.1.0.00.00- DESPESAS OPERACIONAIS</v>
      </c>
      <c r="B203" s="10">
        <v>101762020.38</v>
      </c>
      <c r="C203" s="10">
        <v>12730108.779999999</v>
      </c>
      <c r="D203" s="10">
        <v>114492129.16</v>
      </c>
    </row>
    <row r="204" spans="1:4" x14ac:dyDescent="0.25">
      <c r="A204" s="2" t="str">
        <f>"3.1.1.00.00- SALARIOS ADICIONAIS E HONORARIOS"</f>
        <v>3.1.1.00.00- SALARIOS ADICIONAIS E HONORARIOS</v>
      </c>
      <c r="B204" s="10">
        <v>50576761.850000001</v>
      </c>
      <c r="C204" s="10">
        <v>6742625.9100000001</v>
      </c>
      <c r="D204" s="10">
        <v>57319387.759999998</v>
      </c>
    </row>
    <row r="205" spans="1:4" x14ac:dyDescent="0.25">
      <c r="A205" s="2" t="str">
        <f>"3.1.1.00.01- Honorarios diretoria"</f>
        <v>3.1.1.00.01- Honorarios diretoria</v>
      </c>
      <c r="B205" s="10">
        <v>603047.31999999995</v>
      </c>
      <c r="C205" s="10">
        <v>89146.42</v>
      </c>
      <c r="D205" s="10">
        <v>692193.74</v>
      </c>
    </row>
    <row r="206" spans="1:4" x14ac:dyDescent="0.25">
      <c r="A206" s="2" t="str">
        <f>"3.1.1.00.02- Honorarios conselho fiscal"</f>
        <v>3.1.1.00.02- Honorarios conselho fiscal</v>
      </c>
      <c r="B206" s="10">
        <v>42500.82</v>
      </c>
      <c r="C206" s="10">
        <v>5311.5</v>
      </c>
      <c r="D206" s="10">
        <v>47812.32</v>
      </c>
    </row>
    <row r="207" spans="1:4" x14ac:dyDescent="0.25">
      <c r="A207" s="2" t="str">
        <f>"3.1.1.00.03- Honorarios cons. administracao"</f>
        <v>3.1.1.00.03- Honorarios cons. administracao</v>
      </c>
      <c r="B207" s="10">
        <v>84927.28</v>
      </c>
      <c r="C207" s="10">
        <v>10613.71</v>
      </c>
      <c r="D207" s="10">
        <v>95540.99</v>
      </c>
    </row>
    <row r="208" spans="1:4" x14ac:dyDescent="0.25">
      <c r="A208" s="2" t="str">
        <f>"3.1.1.00.04- Salarios e adicionais"</f>
        <v>3.1.1.00.04- Salarios e adicionais</v>
      </c>
      <c r="B208" s="10">
        <v>38184559.969999999</v>
      </c>
      <c r="C208" s="10">
        <v>5435827.3799999999</v>
      </c>
      <c r="D208" s="10">
        <v>43620387.350000001</v>
      </c>
    </row>
    <row r="209" spans="1:4" x14ac:dyDescent="0.25">
      <c r="A209" s="2" t="str">
        <f>"3.1.1.00.05- Ferias e abono pecuniario"</f>
        <v>3.1.1.00.05- Ferias e abono pecuniario</v>
      </c>
      <c r="B209" s="10">
        <v>5941569.2199999997</v>
      </c>
      <c r="C209" s="10">
        <v>647347.06999999995</v>
      </c>
      <c r="D209" s="10">
        <v>6588916.29</v>
      </c>
    </row>
    <row r="210" spans="1:4" x14ac:dyDescent="0.25">
      <c r="A210" s="2" t="str">
        <f>"3.1.1.00.06- Decimo terceiro salario"</f>
        <v>3.1.1.00.06- Decimo terceiro salario</v>
      </c>
      <c r="B210" s="10">
        <v>3609063.21</v>
      </c>
      <c r="C210" s="10">
        <v>438974.01</v>
      </c>
      <c r="D210" s="10">
        <v>4048037.22</v>
      </c>
    </row>
    <row r="211" spans="1:4" x14ac:dyDescent="0.25">
      <c r="A211" s="2" t="str">
        <f>"3.1.1.00.07- Indenizacoes trabalhistas"</f>
        <v>3.1.1.00.07- Indenizacoes trabalhistas</v>
      </c>
      <c r="B211" s="10">
        <v>33128.97</v>
      </c>
      <c r="C211" s="10">
        <v>102678.28</v>
      </c>
      <c r="D211" s="10">
        <v>135807.25</v>
      </c>
    </row>
    <row r="212" spans="1:4" x14ac:dyDescent="0.25">
      <c r="A212" s="2" t="str">
        <f>"3.1.1.00.08- Bolsas de estagiario"</f>
        <v>3.1.1.00.08- Bolsas de estagiario</v>
      </c>
      <c r="B212" s="10">
        <v>116135.63</v>
      </c>
      <c r="C212" s="10">
        <v>12727.54</v>
      </c>
      <c r="D212" s="10">
        <v>128863.17</v>
      </c>
    </row>
    <row r="213" spans="1:4" x14ac:dyDescent="0.25">
      <c r="A213" s="2" t="str">
        <f>"3.1.1.00.10- Indenizações trabalhistas - ACT"</f>
        <v>3.1.1.00.10- Indenizações trabalhistas - ACT</v>
      </c>
      <c r="B213" s="10">
        <v>1961829.43</v>
      </c>
      <c r="C213" s="10">
        <v>0</v>
      </c>
      <c r="D213" s="10">
        <v>1961829.43</v>
      </c>
    </row>
    <row r="214" spans="1:4" x14ac:dyDescent="0.25">
      <c r="A214" s="2" t="str">
        <f>"3.1.2.01.00- ENCARGOS SOCIAIS"</f>
        <v>3.1.2.01.00- ENCARGOS SOCIAIS</v>
      </c>
      <c r="B214" s="10">
        <v>22959847.77</v>
      </c>
      <c r="C214" s="10">
        <v>2601621.87</v>
      </c>
      <c r="D214" s="10">
        <v>25561469.640000001</v>
      </c>
    </row>
    <row r="215" spans="1:4" x14ac:dyDescent="0.25">
      <c r="A215" s="2" t="str">
        <f>"3.1.2.01.01- INSS"</f>
        <v>3.1.2.01.01- INSS</v>
      </c>
      <c r="B215" s="10">
        <v>17890764.640000001</v>
      </c>
      <c r="C215" s="10">
        <v>2032555.54</v>
      </c>
      <c r="D215" s="10">
        <v>19923320.18</v>
      </c>
    </row>
    <row r="216" spans="1:4" x14ac:dyDescent="0.25">
      <c r="A216" s="2" t="str">
        <f>"3.1.2.01.02- FGTS"</f>
        <v>3.1.2.01.02- FGTS</v>
      </c>
      <c r="B216" s="10">
        <v>5069083.13</v>
      </c>
      <c r="C216" s="10">
        <v>569066.32999999996</v>
      </c>
      <c r="D216" s="10">
        <v>5638149.46</v>
      </c>
    </row>
    <row r="217" spans="1:4" x14ac:dyDescent="0.25">
      <c r="A217" s="2" t="str">
        <f>"3.1.2.02.00- OUTRAS DESPESAS COM PESSOAL"</f>
        <v>3.1.2.02.00- OUTRAS DESPESAS COM PESSOAL</v>
      </c>
      <c r="B217" s="10">
        <v>9327379.1799999997</v>
      </c>
      <c r="C217" s="10">
        <v>1365637.66</v>
      </c>
      <c r="D217" s="10">
        <v>10693016.84</v>
      </c>
    </row>
    <row r="218" spans="1:4" x14ac:dyDescent="0.25">
      <c r="A218" s="2" t="str">
        <f>"3.1.2.02.01- Seguros de Vida"</f>
        <v>3.1.2.02.01- Seguros de Vida</v>
      </c>
      <c r="B218" s="10">
        <v>122870.22</v>
      </c>
      <c r="C218" s="10">
        <v>12406.21</v>
      </c>
      <c r="D218" s="10">
        <v>135276.43</v>
      </c>
    </row>
    <row r="219" spans="1:4" x14ac:dyDescent="0.25">
      <c r="A219" s="2" t="str">
        <f>"3.1.2.02.02- Ass. Medica Odontologica"</f>
        <v>3.1.2.02.02- Ass. Medica Odontologica</v>
      </c>
      <c r="B219" s="10">
        <v>2455162.7599999998</v>
      </c>
      <c r="C219" s="10">
        <v>391674.08</v>
      </c>
      <c r="D219" s="10">
        <v>2846836.84</v>
      </c>
    </row>
    <row r="220" spans="1:4" x14ac:dyDescent="0.25">
      <c r="A220" s="2" t="str">
        <f>"3.1.2.02.03- Vale Transporte"</f>
        <v>3.1.2.02.03- Vale Transporte</v>
      </c>
      <c r="B220" s="10">
        <v>837686.75</v>
      </c>
      <c r="C220" s="10">
        <v>104296.03</v>
      </c>
      <c r="D220" s="10">
        <v>941982.78</v>
      </c>
    </row>
    <row r="221" spans="1:4" x14ac:dyDescent="0.25">
      <c r="A221" s="2" t="str">
        <f>"3.1.2.02.04- Vale Refeicao/Alimentacao"</f>
        <v>3.1.2.02.04- Vale Refeicao/Alimentacao</v>
      </c>
      <c r="B221" s="10">
        <v>5638455.8799999999</v>
      </c>
      <c r="C221" s="10">
        <v>801273.74</v>
      </c>
      <c r="D221" s="10">
        <v>6439729.6200000001</v>
      </c>
    </row>
    <row r="222" spans="1:4" x14ac:dyDescent="0.25">
      <c r="A222" s="2" t="str">
        <f>"3.1.2.02.05- Compl. Auxilio Doenca"</f>
        <v>3.1.2.02.05- Compl. Auxilio Doenca</v>
      </c>
      <c r="B222" s="10">
        <v>90235.61</v>
      </c>
      <c r="C222" s="10">
        <v>33283.11</v>
      </c>
      <c r="D222" s="10">
        <v>123518.72</v>
      </c>
    </row>
    <row r="223" spans="1:4" x14ac:dyDescent="0.25">
      <c r="A223" s="2" t="str">
        <f>"3.1.2.02.06- Cursos e Treinamentos"</f>
        <v>3.1.2.02.06- Cursos e Treinamentos</v>
      </c>
      <c r="B223" s="10">
        <v>14155</v>
      </c>
      <c r="C223" s="10">
        <v>472</v>
      </c>
      <c r="D223" s="10">
        <v>14627</v>
      </c>
    </row>
    <row r="224" spans="1:4" x14ac:dyDescent="0.25">
      <c r="A224" s="2" t="str">
        <f>"3.1.2.02.07- Auxilio Creche"</f>
        <v>3.1.2.02.07- Auxilio Creche</v>
      </c>
      <c r="B224" s="10">
        <v>168812.96</v>
      </c>
      <c r="C224" s="10">
        <v>22232.49</v>
      </c>
      <c r="D224" s="10">
        <v>191045.45</v>
      </c>
    </row>
    <row r="225" spans="1:4" x14ac:dyDescent="0.25">
      <c r="A225" s="2" t="str">
        <f>"3.1.3.00.00- MATERIAIS"</f>
        <v>3.1.3.00.00- MATERIAIS</v>
      </c>
      <c r="B225" s="10">
        <v>576621</v>
      </c>
      <c r="C225" s="10">
        <v>69348.58</v>
      </c>
      <c r="D225" s="10">
        <v>645969.57999999996</v>
      </c>
    </row>
    <row r="226" spans="1:4" x14ac:dyDescent="0.25">
      <c r="A226" s="2" t="str">
        <f>"3.1.3.00.01- Bens de natureza permanente"</f>
        <v>3.1.3.00.01- Bens de natureza permanente</v>
      </c>
      <c r="B226" s="10">
        <v>339.4</v>
      </c>
      <c r="C226" s="10">
        <v>0</v>
      </c>
      <c r="D226" s="10">
        <v>339.4</v>
      </c>
    </row>
    <row r="227" spans="1:4" x14ac:dyDescent="0.25">
      <c r="A227" s="2" t="str">
        <f>"3.1.3.00.05- Placas/acessorios/mat.fixacao"</f>
        <v>3.1.3.00.05- Placas/acessorios/mat.fixacao</v>
      </c>
      <c r="B227" s="10">
        <v>12705</v>
      </c>
      <c r="C227" s="10">
        <v>0</v>
      </c>
      <c r="D227" s="10">
        <v>12705</v>
      </c>
    </row>
    <row r="228" spans="1:4" x14ac:dyDescent="0.25">
      <c r="A228" s="2" t="str">
        <f>"3.1.3.00.08- Material seguranca e uniformes"</f>
        <v>3.1.3.00.08- Material seguranca e uniformes</v>
      </c>
      <c r="B228" s="10">
        <v>2346.89</v>
      </c>
      <c r="C228" s="10">
        <v>62.6</v>
      </c>
      <c r="D228" s="10">
        <v>2409.4899999999998</v>
      </c>
    </row>
    <row r="229" spans="1:4" x14ac:dyDescent="0.25">
      <c r="A229" s="2" t="str">
        <f>"3.1.3.00.09- Material limp/conserv/copa/cozin"</f>
        <v>3.1.3.00.09- Material limp/conserv/copa/cozin</v>
      </c>
      <c r="B229" s="10">
        <v>106948.4</v>
      </c>
      <c r="C229" s="10">
        <v>12497.46</v>
      </c>
      <c r="D229" s="10">
        <v>119445.86</v>
      </c>
    </row>
    <row r="230" spans="1:4" x14ac:dyDescent="0.25">
      <c r="A230" s="2" t="str">
        <f>"3.1.3.00.10- Impressos e material de escritorio"</f>
        <v>3.1.3.00.10- Impressos e material de escritorio</v>
      </c>
      <c r="B230" s="10">
        <v>128622.94</v>
      </c>
      <c r="C230" s="10">
        <v>14084.19</v>
      </c>
      <c r="D230" s="10">
        <v>142707.13</v>
      </c>
    </row>
    <row r="231" spans="1:4" x14ac:dyDescent="0.25">
      <c r="A231" s="2" t="str">
        <f>"3.1.3.00.11- Materiais manut. inst. prediais"</f>
        <v>3.1.3.00.11- Materiais manut. inst. prediais</v>
      </c>
      <c r="B231" s="10">
        <v>64613.65</v>
      </c>
      <c r="C231" s="10">
        <v>5668.88</v>
      </c>
      <c r="D231" s="10">
        <v>70282.53</v>
      </c>
    </row>
    <row r="232" spans="1:4" x14ac:dyDescent="0.25">
      <c r="A232" s="2" t="str">
        <f>"3.1.3.00.12- Carnes estacionamento rotativo"</f>
        <v>3.1.3.00.12- Carnes estacionamento rotativo</v>
      </c>
      <c r="B232" s="10">
        <v>228635.55</v>
      </c>
      <c r="C232" s="10">
        <v>31853.25</v>
      </c>
      <c r="D232" s="10">
        <v>260488.8</v>
      </c>
    </row>
    <row r="233" spans="1:4" x14ac:dyDescent="0.25">
      <c r="A233" s="2" t="str">
        <f>"3.1.3.00.15- Materiais e supriment informatic"</f>
        <v>3.1.3.00.15- Materiais e supriment informatic</v>
      </c>
      <c r="B233" s="10">
        <v>22900.84</v>
      </c>
      <c r="C233" s="10">
        <v>4922.2</v>
      </c>
      <c r="D233" s="10">
        <v>27823.040000000001</v>
      </c>
    </row>
    <row r="234" spans="1:4" x14ac:dyDescent="0.25">
      <c r="A234" s="2" t="str">
        <f>"3.1.3.00.17- Comb./lubrificantes"</f>
        <v>3.1.3.00.17- Comb./lubrificantes</v>
      </c>
      <c r="B234" s="10">
        <v>191.11</v>
      </c>
      <c r="C234" s="10">
        <v>0</v>
      </c>
      <c r="D234" s="10">
        <v>191.11</v>
      </c>
    </row>
    <row r="235" spans="1:4" x14ac:dyDescent="0.25">
      <c r="A235" s="2" t="str">
        <f>"3.1.3.00.18- Livros/jornais/rev./publicacoes"</f>
        <v>3.1.3.00.18- Livros/jornais/rev./publicacoes</v>
      </c>
      <c r="B235" s="10">
        <v>1360.8</v>
      </c>
      <c r="C235" s="10">
        <v>0</v>
      </c>
      <c r="D235" s="10">
        <v>1360.8</v>
      </c>
    </row>
    <row r="236" spans="1:4" x14ac:dyDescent="0.25">
      <c r="A236" s="2" t="str">
        <f>"3.1.3.00.19- Mat.man.cons.veiculos"</f>
        <v>3.1.3.00.19- Mat.man.cons.veiculos</v>
      </c>
      <c r="B236" s="10">
        <v>364</v>
      </c>
      <c r="C236" s="10">
        <v>260</v>
      </c>
      <c r="D236" s="10">
        <v>624</v>
      </c>
    </row>
    <row r="237" spans="1:4" x14ac:dyDescent="0.25">
      <c r="A237" s="2" t="str">
        <f>"3.1.3.00.99- Outros materiais"</f>
        <v>3.1.3.00.99- Outros materiais</v>
      </c>
      <c r="B237" s="10">
        <v>7592.42</v>
      </c>
      <c r="C237" s="10">
        <v>0</v>
      </c>
      <c r="D237" s="10">
        <v>7592.42</v>
      </c>
    </row>
    <row r="238" spans="1:4" x14ac:dyDescent="0.25">
      <c r="A238" s="2" t="str">
        <f>"3.1.4.00.00- SERVICOS PRESTADOS POR TERCEIROS"</f>
        <v>3.1.4.00.00- SERVICOS PRESTADOS POR TERCEIROS</v>
      </c>
      <c r="B238" s="10">
        <v>14373486.59</v>
      </c>
      <c r="C238" s="10">
        <v>1618518.54</v>
      </c>
      <c r="D238" s="10">
        <v>15992005.130000001</v>
      </c>
    </row>
    <row r="239" spans="1:4" x14ac:dyDescent="0.25">
      <c r="A239" s="2" t="str">
        <f>"3.1.4.00.01- Consultoria"</f>
        <v>3.1.4.00.01- Consultoria</v>
      </c>
      <c r="B239" s="10">
        <v>26600</v>
      </c>
      <c r="C239" s="10">
        <v>0</v>
      </c>
      <c r="D239" s="10">
        <v>26600</v>
      </c>
    </row>
    <row r="240" spans="1:4" x14ac:dyDescent="0.25">
      <c r="A240" s="2" t="str">
        <f>"3.1.4.00.03- Locacao de equipamentos"</f>
        <v>3.1.4.00.03- Locacao de equipamentos</v>
      </c>
      <c r="B240" s="10">
        <v>53645.599999999999</v>
      </c>
      <c r="C240" s="10">
        <v>0</v>
      </c>
      <c r="D240" s="10">
        <v>53645.599999999999</v>
      </c>
    </row>
    <row r="241" spans="1:4" x14ac:dyDescent="0.25">
      <c r="A241" s="2" t="str">
        <f>"3.1.4.00.08- Servicos de auditoria"</f>
        <v>3.1.4.00.08- Servicos de auditoria</v>
      </c>
      <c r="B241" s="10">
        <v>16333.28</v>
      </c>
      <c r="C241" s="10">
        <v>0</v>
      </c>
      <c r="D241" s="10">
        <v>16333.28</v>
      </c>
    </row>
    <row r="242" spans="1:4" x14ac:dyDescent="0.25">
      <c r="A242" s="2" t="str">
        <f>"3.1.4.00.10- Mao de obra contratada"</f>
        <v>3.1.4.00.10- Mao de obra contratada</v>
      </c>
      <c r="B242" s="10">
        <v>821428.28</v>
      </c>
      <c r="C242" s="10">
        <v>25104.91</v>
      </c>
      <c r="D242" s="10">
        <v>846533.19</v>
      </c>
    </row>
    <row r="243" spans="1:4" x14ac:dyDescent="0.25">
      <c r="A243" s="2" t="str">
        <f>"3.1.4.00.13- Publicidade e divulgacao"</f>
        <v>3.1.4.00.13- Publicidade e divulgacao</v>
      </c>
      <c r="B243" s="10">
        <v>133438.60999999999</v>
      </c>
      <c r="C243" s="10">
        <v>669.75</v>
      </c>
      <c r="D243" s="10">
        <v>134108.35999999999</v>
      </c>
    </row>
    <row r="244" spans="1:4" x14ac:dyDescent="0.25">
      <c r="A244" s="2" t="str">
        <f>"3.1.4.00.14- Informatica-serv. e/ou locacao"</f>
        <v>3.1.4.00.14- Informatica-serv. e/ou locacao</v>
      </c>
      <c r="B244" s="10">
        <v>1004777.18</v>
      </c>
      <c r="C244" s="10">
        <v>21718.59</v>
      </c>
      <c r="D244" s="10">
        <v>1026495.77</v>
      </c>
    </row>
    <row r="245" spans="1:4" x14ac:dyDescent="0.25">
      <c r="A245" s="2" t="str">
        <f>"3.1.4.00.15- Outros serv. prestados - PF"</f>
        <v>3.1.4.00.15- Outros serv. prestados - PF</v>
      </c>
      <c r="B245" s="10">
        <v>94674.94</v>
      </c>
      <c r="C245" s="10">
        <v>9090.16</v>
      </c>
      <c r="D245" s="10">
        <v>103765.1</v>
      </c>
    </row>
    <row r="246" spans="1:4" x14ac:dyDescent="0.25">
      <c r="A246" s="2" t="str">
        <f>"3.1.4.00.16- Outros serv. Prestados - PJ"</f>
        <v>3.1.4.00.16- Outros serv. Prestados - PJ</v>
      </c>
      <c r="B246" s="10">
        <v>177590.15</v>
      </c>
      <c r="C246" s="10">
        <v>9179.07</v>
      </c>
      <c r="D246" s="10">
        <v>186769.22</v>
      </c>
    </row>
    <row r="247" spans="1:4" x14ac:dyDescent="0.25">
      <c r="A247" s="2" t="str">
        <f>"3.1.4.00.17- Servicos postais"</f>
        <v>3.1.4.00.17- Servicos postais</v>
      </c>
      <c r="B247" s="10">
        <v>36227.440000000002</v>
      </c>
      <c r="C247" s="10">
        <v>17921.57</v>
      </c>
      <c r="D247" s="10">
        <v>54149.01</v>
      </c>
    </row>
    <row r="248" spans="1:4" x14ac:dyDescent="0.25">
      <c r="A248" s="2" t="str">
        <f>"3.1.4.00.18- INSS s/servicos de terceiros"</f>
        <v>3.1.4.00.18- INSS s/servicos de terceiros</v>
      </c>
      <c r="B248" s="10">
        <v>19869.650000000001</v>
      </c>
      <c r="C248" s="10">
        <v>3785.83</v>
      </c>
      <c r="D248" s="10">
        <v>23655.48</v>
      </c>
    </row>
    <row r="249" spans="1:4" x14ac:dyDescent="0.25">
      <c r="A249" s="2" t="str">
        <f>"3.1.4.00.19- Manut. imoveis/instal/equip.oper"</f>
        <v>3.1.4.00.19- Manut. imoveis/instal/equip.oper</v>
      </c>
      <c r="B249" s="10">
        <v>358883.02</v>
      </c>
      <c r="C249" s="10">
        <v>31536.23</v>
      </c>
      <c r="D249" s="10">
        <v>390419.25</v>
      </c>
    </row>
    <row r="250" spans="1:4" x14ac:dyDescent="0.25">
      <c r="A250" s="2" t="str">
        <f>"3.1.4.00.21- Manut. moveis e equip. Escritorio"</f>
        <v>3.1.4.00.21- Manut. moveis e equip. Escritorio</v>
      </c>
      <c r="B250" s="10">
        <v>40667.08</v>
      </c>
      <c r="C250" s="10">
        <v>0</v>
      </c>
      <c r="D250" s="10">
        <v>40667.08</v>
      </c>
    </row>
    <row r="251" spans="1:4" x14ac:dyDescent="0.25">
      <c r="A251" s="2" t="str">
        <f>"3.1.4.00.24- Loc.serv.mensageiro"</f>
        <v>3.1.4.00.24- Loc.serv.mensageiro</v>
      </c>
      <c r="B251" s="10">
        <v>34838.81</v>
      </c>
      <c r="C251" s="10">
        <v>0</v>
      </c>
      <c r="D251" s="10">
        <v>34838.81</v>
      </c>
    </row>
    <row r="252" spans="1:4" x14ac:dyDescent="0.25">
      <c r="A252" s="2" t="str">
        <f>"3.1.4.00.26- Serv.limp.conserv."</f>
        <v>3.1.4.00.26- Serv.limp.conserv.</v>
      </c>
      <c r="B252" s="10">
        <v>11561932.26</v>
      </c>
      <c r="C252" s="10">
        <v>1439362.81</v>
      </c>
      <c r="D252" s="10">
        <v>13001295.07</v>
      </c>
    </row>
    <row r="253" spans="1:4" x14ac:dyDescent="0.25">
      <c r="A253" s="2" t="str">
        <f>"3.1.4.00.32- Vale transporte"</f>
        <v>3.1.4.00.32- Vale transporte</v>
      </c>
      <c r="B253" s="10">
        <v>929.63</v>
      </c>
      <c r="C253" s="10">
        <v>0</v>
      </c>
      <c r="D253" s="10">
        <v>929.63</v>
      </c>
    </row>
    <row r="254" spans="1:4" x14ac:dyDescent="0.25">
      <c r="A254" s="2" t="str">
        <f>"3.1.4.00.33- Vale Ref./Al.terceir."</f>
        <v>3.1.4.00.33- Vale Ref./Al.terceir.</v>
      </c>
      <c r="B254" s="10">
        <v>2454.6999999999998</v>
      </c>
      <c r="C254" s="10">
        <v>0</v>
      </c>
      <c r="D254" s="10">
        <v>2454.6999999999998</v>
      </c>
    </row>
    <row r="255" spans="1:4" x14ac:dyDescent="0.25">
      <c r="A255" s="2" t="str">
        <f>"3.1.4.00.34- Comissao s/venda rotativo"</f>
        <v>3.1.4.00.34- Comissao s/venda rotativo</v>
      </c>
      <c r="B255" s="10">
        <v>487014.74</v>
      </c>
      <c r="C255" s="10">
        <v>15714.03</v>
      </c>
      <c r="D255" s="10">
        <v>502728.77</v>
      </c>
    </row>
    <row r="256" spans="1:4" x14ac:dyDescent="0.25">
      <c r="A256" s="2" t="str">
        <f>"3.1.4.00.36- (-) Desconto ISSQN conf Lei 9145 serv. P"</f>
        <v>3.1.4.00.36- (-) Desconto ISSQN conf Lei 9145 serv. P</v>
      </c>
      <c r="B256" s="10">
        <v>-651278.68000000005</v>
      </c>
      <c r="C256" s="10">
        <v>-64699.519999999997</v>
      </c>
      <c r="D256" s="10">
        <v>-715978.2</v>
      </c>
    </row>
    <row r="257" spans="1:4" x14ac:dyDescent="0.25">
      <c r="A257" s="2" t="str">
        <f>"3.1.4.00.39- Convênio Guarda Municipal"</f>
        <v>3.1.4.00.39- Convênio Guarda Municipal</v>
      </c>
      <c r="B257" s="10">
        <v>153459.9</v>
      </c>
      <c r="C257" s="10">
        <v>109135.11</v>
      </c>
      <c r="D257" s="10">
        <v>262595.01</v>
      </c>
    </row>
    <row r="258" spans="1:4" x14ac:dyDescent="0.25">
      <c r="A258" s="2" t="str">
        <f>"3.1.5.00.00- TARIFAS PUBLICAS"</f>
        <v>3.1.5.00.00- TARIFAS PUBLICAS</v>
      </c>
      <c r="B258" s="10">
        <v>1080520.6200000001</v>
      </c>
      <c r="C258" s="10">
        <v>34374.839999999997</v>
      </c>
      <c r="D258" s="10">
        <v>1114895.46</v>
      </c>
    </row>
    <row r="259" spans="1:4" x14ac:dyDescent="0.25">
      <c r="A259" s="2" t="str">
        <f>"3.1.5.00.02- Energia eletrica"</f>
        <v>3.1.5.00.02- Energia eletrica</v>
      </c>
      <c r="B259" s="10">
        <v>830607.4</v>
      </c>
      <c r="C259" s="10">
        <v>125.67</v>
      </c>
      <c r="D259" s="10">
        <v>830733.07</v>
      </c>
    </row>
    <row r="260" spans="1:4" x14ac:dyDescent="0.25">
      <c r="A260" s="2" t="str">
        <f>"3.1.5.00.03- Telefone"</f>
        <v>3.1.5.00.03- Telefone</v>
      </c>
      <c r="B260" s="10">
        <v>249913.22</v>
      </c>
      <c r="C260" s="10">
        <v>34249.17</v>
      </c>
      <c r="D260" s="10">
        <v>284162.39</v>
      </c>
    </row>
    <row r="261" spans="1:4" x14ac:dyDescent="0.25">
      <c r="A261" s="2" t="str">
        <f>"3.1.6.00.00- DESPESAS TRIBUTARIAS"</f>
        <v>3.1.6.00.00- DESPESAS TRIBUTARIAS</v>
      </c>
      <c r="B261" s="10">
        <v>1883038.28</v>
      </c>
      <c r="C261" s="10">
        <v>222544.26</v>
      </c>
      <c r="D261" s="10">
        <v>2105582.54</v>
      </c>
    </row>
    <row r="262" spans="1:4" x14ac:dyDescent="0.25">
      <c r="A262" s="2" t="str">
        <f>"3.1.6.00.01- Taxas legais"</f>
        <v>3.1.6.00.01- Taxas legais</v>
      </c>
      <c r="B262" s="10">
        <v>20860.87</v>
      </c>
      <c r="C262" s="10">
        <v>0</v>
      </c>
      <c r="D262" s="10">
        <v>20860.87</v>
      </c>
    </row>
    <row r="263" spans="1:4" x14ac:dyDescent="0.25">
      <c r="A263" s="2" t="str">
        <f>"3.1.6.00.03- IOF"</f>
        <v>3.1.6.00.03- IOF</v>
      </c>
      <c r="B263" s="10">
        <v>1100.01</v>
      </c>
      <c r="C263" s="10">
        <v>0</v>
      </c>
      <c r="D263" s="10">
        <v>1100.01</v>
      </c>
    </row>
    <row r="264" spans="1:4" x14ac:dyDescent="0.25">
      <c r="A264" s="2" t="str">
        <f>"3.1.6.00.06- PIS"</f>
        <v>3.1.6.00.06- PIS</v>
      </c>
      <c r="B264" s="10">
        <v>303869.28999999998</v>
      </c>
      <c r="C264" s="10">
        <v>38631.11</v>
      </c>
      <c r="D264" s="10">
        <v>342500.4</v>
      </c>
    </row>
    <row r="265" spans="1:4" x14ac:dyDescent="0.25">
      <c r="A265" s="2" t="str">
        <f>"3.1.6.00.07- COFINS"</f>
        <v>3.1.6.00.07- COFINS</v>
      </c>
      <c r="B265" s="10">
        <v>1399640.42</v>
      </c>
      <c r="C265" s="10">
        <v>177937.24</v>
      </c>
      <c r="D265" s="10">
        <v>1577577.66</v>
      </c>
    </row>
    <row r="266" spans="1:4" x14ac:dyDescent="0.25">
      <c r="A266" s="2" t="str">
        <f>"3.1.6.00.08- Multas indedutiveis"</f>
        <v>3.1.6.00.08- Multas indedutiveis</v>
      </c>
      <c r="B266" s="10">
        <v>26966.39</v>
      </c>
      <c r="C266" s="10">
        <v>0</v>
      </c>
      <c r="D266" s="10">
        <v>26966.39</v>
      </c>
    </row>
    <row r="267" spans="1:4" x14ac:dyDescent="0.25">
      <c r="A267" s="2" t="str">
        <f>"3.1.6.00.10- ISS s/faturamento"</f>
        <v>3.1.6.00.10- ISS s/faturamento</v>
      </c>
      <c r="B267" s="10">
        <v>16503.04</v>
      </c>
      <c r="C267" s="10">
        <v>2663.92</v>
      </c>
      <c r="D267" s="10">
        <v>19166.96</v>
      </c>
    </row>
    <row r="268" spans="1:4" x14ac:dyDescent="0.25">
      <c r="A268" s="2" t="str">
        <f>"3.1.6.00.11- Custas/despesas judiciais"</f>
        <v>3.1.6.00.11- Custas/despesas judiciais</v>
      </c>
      <c r="B268" s="10">
        <v>60</v>
      </c>
      <c r="C268" s="10">
        <v>0</v>
      </c>
      <c r="D268" s="10">
        <v>60</v>
      </c>
    </row>
    <row r="269" spans="1:4" x14ac:dyDescent="0.25">
      <c r="A269" s="2" t="str">
        <f>"3.1.6.00.14- Contrib.entid.classe"</f>
        <v>3.1.6.00.14- Contrib.entid.classe</v>
      </c>
      <c r="B269" s="10">
        <v>81312.44</v>
      </c>
      <c r="C269" s="10">
        <v>0</v>
      </c>
      <c r="D269" s="10">
        <v>81312.44</v>
      </c>
    </row>
    <row r="270" spans="1:4" x14ac:dyDescent="0.25">
      <c r="A270" s="2" t="str">
        <f>"3.1.6.00.15- INSS Serv.terceiros"</f>
        <v>3.1.6.00.15- INSS Serv.terceiros</v>
      </c>
      <c r="B270" s="10">
        <v>14534.95</v>
      </c>
      <c r="C270" s="10">
        <v>0</v>
      </c>
      <c r="D270" s="10">
        <v>14534.95</v>
      </c>
    </row>
    <row r="271" spans="1:4" x14ac:dyDescent="0.25">
      <c r="A271" s="2" t="str">
        <f>"3.1.6.00.17- PIS s/ receitas financeiras"</f>
        <v>3.1.6.00.17- PIS s/ receitas financeiras</v>
      </c>
      <c r="B271" s="10">
        <v>2542.8000000000002</v>
      </c>
      <c r="C271" s="10">
        <v>462.97</v>
      </c>
      <c r="D271" s="10">
        <v>3005.77</v>
      </c>
    </row>
    <row r="272" spans="1:4" x14ac:dyDescent="0.25">
      <c r="A272" s="2" t="str">
        <f>"3.1.6.00.18- Cofins s/ receitas financeiras"</f>
        <v>3.1.6.00.18- Cofins s/ receitas financeiras</v>
      </c>
      <c r="B272" s="10">
        <v>15648.07</v>
      </c>
      <c r="C272" s="10">
        <v>2849.02</v>
      </c>
      <c r="D272" s="10">
        <v>18497.09</v>
      </c>
    </row>
    <row r="273" spans="1:4" x14ac:dyDescent="0.25">
      <c r="A273" s="2" t="str">
        <f>"3.1.7.00.00- DESPESAS FINANCEIRAS"</f>
        <v>3.1.7.00.00- DESPESAS FINANCEIRAS</v>
      </c>
      <c r="B273" s="10">
        <v>18840.27</v>
      </c>
      <c r="C273" s="10">
        <v>1778.41</v>
      </c>
      <c r="D273" s="10">
        <v>20618.68</v>
      </c>
    </row>
    <row r="274" spans="1:4" x14ac:dyDescent="0.25">
      <c r="A274" s="2" t="str">
        <f>"3.1.7.01.01- Juros passivos curto prazo"</f>
        <v>3.1.7.01.01- Juros passivos curto prazo</v>
      </c>
      <c r="B274" s="10">
        <v>61.07</v>
      </c>
      <c r="C274" s="10">
        <v>0</v>
      </c>
      <c r="D274" s="10">
        <v>61.07</v>
      </c>
    </row>
    <row r="275" spans="1:4" x14ac:dyDescent="0.25">
      <c r="A275" s="2" t="str">
        <f>"3.1.7.01.02- Despesas bancarias"</f>
        <v>3.1.7.01.02- Despesas bancarias</v>
      </c>
      <c r="B275" s="10">
        <v>18779.2</v>
      </c>
      <c r="C275" s="10">
        <v>1778.41</v>
      </c>
      <c r="D275" s="10">
        <v>20557.61</v>
      </c>
    </row>
    <row r="276" spans="1:4" x14ac:dyDescent="0.25">
      <c r="A276" s="2" t="str">
        <f>"3.1.8.00.00- OUTRAS DESPESAS"</f>
        <v>3.1.8.00.00- OUTRAS DESPESAS</v>
      </c>
      <c r="B276" s="10">
        <v>965524.82</v>
      </c>
      <c r="C276" s="10">
        <v>73658.710000000006</v>
      </c>
      <c r="D276" s="10">
        <v>1039183.53</v>
      </c>
    </row>
    <row r="277" spans="1:4" x14ac:dyDescent="0.25">
      <c r="A277" s="2" t="str">
        <f>"3.1.8.00.01- Despesas de viagem"</f>
        <v>3.1.8.00.01- Despesas de viagem</v>
      </c>
      <c r="B277" s="10">
        <v>51641.66</v>
      </c>
      <c r="C277" s="10">
        <v>6719.51</v>
      </c>
      <c r="D277" s="10">
        <v>58361.17</v>
      </c>
    </row>
    <row r="278" spans="1:4" x14ac:dyDescent="0.25">
      <c r="A278" s="2" t="str">
        <f>"3.1.8.00.05- Depreciacao/amort"</f>
        <v>3.1.8.00.05- Depreciacao/amort</v>
      </c>
      <c r="B278" s="10">
        <v>181331.69</v>
      </c>
      <c r="C278" s="10">
        <v>21657.05</v>
      </c>
      <c r="D278" s="10">
        <v>202988.74</v>
      </c>
    </row>
    <row r="279" spans="1:4" x14ac:dyDescent="0.25">
      <c r="A279" s="2" t="str">
        <f>"3.1.8.00.06- Seguros bens moveis e imoveis"</f>
        <v>3.1.8.00.06- Seguros bens moveis e imoveis</v>
      </c>
      <c r="B279" s="10">
        <v>7341.9</v>
      </c>
      <c r="C279" s="10">
        <v>1437.39</v>
      </c>
      <c r="D279" s="10">
        <v>8779.2900000000009</v>
      </c>
    </row>
    <row r="280" spans="1:4" x14ac:dyDescent="0.25">
      <c r="A280" s="2" t="str">
        <f>"3.1.8.00.08- Alugueis e condominio"</f>
        <v>3.1.8.00.08- Alugueis e condominio</v>
      </c>
      <c r="B280" s="10">
        <v>40574.480000000003</v>
      </c>
      <c r="C280" s="10">
        <v>5071.8100000000004</v>
      </c>
      <c r="D280" s="10">
        <v>45646.29</v>
      </c>
    </row>
    <row r="281" spans="1:4" x14ac:dyDescent="0.25">
      <c r="A281" s="2" t="str">
        <f>"3.1.8.00.12- Acoes judiciais terceiros"</f>
        <v>3.1.8.00.12- Acoes judiciais terceiros</v>
      </c>
      <c r="B281" s="10">
        <v>24483.3</v>
      </c>
      <c r="C281" s="10">
        <v>-15200</v>
      </c>
      <c r="D281" s="10">
        <v>9283.2999999999993</v>
      </c>
    </row>
    <row r="282" spans="1:4" x14ac:dyDescent="0.25">
      <c r="A282" s="2" t="str">
        <f>"3.1.8.00.16- Baixa de imobilizado"</f>
        <v>3.1.8.00.16- Baixa de imobilizado</v>
      </c>
      <c r="B282" s="10">
        <v>4339.8999999999996</v>
      </c>
      <c r="C282" s="10">
        <v>0</v>
      </c>
      <c r="D282" s="10">
        <v>4339.8999999999996</v>
      </c>
    </row>
    <row r="283" spans="1:4" x14ac:dyDescent="0.25">
      <c r="A283" s="2" t="str">
        <f>"3.1.8.00.17- Gastos com eventos e promocoes"</f>
        <v>3.1.8.00.17- Gastos com eventos e promocoes</v>
      </c>
      <c r="B283" s="10">
        <v>285460.3</v>
      </c>
      <c r="C283" s="10">
        <v>5484</v>
      </c>
      <c r="D283" s="10">
        <v>290944.3</v>
      </c>
    </row>
    <row r="284" spans="1:4" x14ac:dyDescent="0.25">
      <c r="A284" s="2" t="str">
        <f>"3.1.8.00.18- Provisao para perdas"</f>
        <v>3.1.8.00.18- Provisao para perdas</v>
      </c>
      <c r="B284" s="10">
        <v>314368.98</v>
      </c>
      <c r="C284" s="10">
        <v>39310.089999999997</v>
      </c>
      <c r="D284" s="10">
        <v>353679.07</v>
      </c>
    </row>
    <row r="285" spans="1:4" x14ac:dyDescent="0.25">
      <c r="A285" s="2" t="str">
        <f>"3.1.8.00.23- Custas/Despesas Judiciais"</f>
        <v>3.1.8.00.23- Custas/Despesas Judiciais</v>
      </c>
      <c r="B285" s="10">
        <v>55815.11</v>
      </c>
      <c r="C285" s="10">
        <v>8934.17</v>
      </c>
      <c r="D285" s="10">
        <v>64749.279999999999</v>
      </c>
    </row>
    <row r="286" spans="1:4" x14ac:dyDescent="0.25">
      <c r="A286" s="2" t="str">
        <f>"3.1.8.00.99- Despesas diversas"</f>
        <v>3.1.8.00.99- Despesas diversas</v>
      </c>
      <c r="B286" s="10">
        <v>167.5</v>
      </c>
      <c r="C286" s="10">
        <v>244.69</v>
      </c>
      <c r="D286" s="10">
        <v>412.19</v>
      </c>
    </row>
    <row r="287" spans="1:4" x14ac:dyDescent="0.25">
      <c r="A287" s="2" t="str">
        <f>""</f>
        <v/>
      </c>
      <c r="B287" s="3" t="str">
        <f>""</f>
        <v/>
      </c>
      <c r="C287" s="3" t="str">
        <f>""</f>
        <v/>
      </c>
      <c r="D287" s="3" t="str">
        <f>""</f>
        <v/>
      </c>
    </row>
    <row r="288" spans="1:4" x14ac:dyDescent="0.25">
      <c r="A288" s="2" t="str">
        <f>""</f>
        <v/>
      </c>
      <c r="B288" s="3" t="str">
        <f>""</f>
        <v/>
      </c>
      <c r="C288" s="3" t="str">
        <f>""</f>
        <v/>
      </c>
      <c r="D288" s="3" t="str">
        <f>""</f>
        <v/>
      </c>
    </row>
    <row r="289" spans="1:4" x14ac:dyDescent="0.25">
      <c r="A289" s="2" t="str">
        <f>""</f>
        <v/>
      </c>
      <c r="B289" s="3" t="str">
        <f>""</f>
        <v/>
      </c>
      <c r="C289" s="3" t="str">
        <f>""</f>
        <v/>
      </c>
      <c r="D289" s="3" t="str">
        <f>""</f>
        <v/>
      </c>
    </row>
    <row r="290" spans="1:4" x14ac:dyDescent="0.25">
      <c r="A290" s="2" t="str">
        <f>""</f>
        <v/>
      </c>
      <c r="B290" s="3" t="str">
        <f>""</f>
        <v/>
      </c>
      <c r="C290" s="3" t="str">
        <f>""</f>
        <v/>
      </c>
      <c r="D290" s="3" t="str">
        <f>""</f>
        <v/>
      </c>
    </row>
    <row r="291" spans="1:4" x14ac:dyDescent="0.25">
      <c r="A291" s="2" t="str">
        <f>""</f>
        <v/>
      </c>
      <c r="B291" s="3" t="str">
        <f>""</f>
        <v/>
      </c>
      <c r="C291" s="3" t="str">
        <f>""</f>
        <v/>
      </c>
      <c r="D291" s="3" t="str">
        <f>""</f>
        <v/>
      </c>
    </row>
    <row r="292" spans="1:4" x14ac:dyDescent="0.25">
      <c r="A292" s="2" t="str">
        <f>""</f>
        <v/>
      </c>
      <c r="B292" s="3" t="str">
        <f>""</f>
        <v/>
      </c>
      <c r="C292" s="3" t="str">
        <f>""</f>
        <v/>
      </c>
      <c r="D292" s="3" t="str">
        <f>""</f>
        <v/>
      </c>
    </row>
    <row r="293" spans="1:4" x14ac:dyDescent="0.25">
      <c r="A293" s="2" t="str">
        <f>""</f>
        <v/>
      </c>
      <c r="B293" s="3" t="str">
        <f>""</f>
        <v/>
      </c>
      <c r="C293" s="3" t="str">
        <f>""</f>
        <v/>
      </c>
      <c r="D293" s="3" t="str">
        <f>""</f>
        <v/>
      </c>
    </row>
    <row r="294" spans="1:4" x14ac:dyDescent="0.25">
      <c r="A294" s="2" t="str">
        <f>""</f>
        <v/>
      </c>
      <c r="B294" s="3" t="str">
        <f>""</f>
        <v/>
      </c>
      <c r="C294" s="3" t="str">
        <f>""</f>
        <v/>
      </c>
      <c r="D294" s="3" t="str">
        <f>""</f>
        <v/>
      </c>
    </row>
    <row r="295" spans="1:4" x14ac:dyDescent="0.25">
      <c r="A295" s="2" t="str">
        <f>""</f>
        <v/>
      </c>
      <c r="B295" s="3" t="str">
        <f>""</f>
        <v/>
      </c>
      <c r="C295" s="3" t="str">
        <f>""</f>
        <v/>
      </c>
      <c r="D295" s="3" t="str">
        <f>""</f>
        <v/>
      </c>
    </row>
    <row r="296" spans="1:4" x14ac:dyDescent="0.25">
      <c r="A296" s="2" t="str">
        <f>""</f>
        <v/>
      </c>
      <c r="B296" s="3" t="str">
        <f>""</f>
        <v/>
      </c>
      <c r="C296" s="3" t="str">
        <f>""</f>
        <v/>
      </c>
      <c r="D296" s="3" t="str">
        <f>""</f>
        <v/>
      </c>
    </row>
    <row r="297" spans="1:4" x14ac:dyDescent="0.25">
      <c r="A297" s="2" t="str">
        <f>"RECEITAS"</f>
        <v>RECEITAS</v>
      </c>
      <c r="B297" s="3" t="str">
        <f>""</f>
        <v/>
      </c>
      <c r="C297" s="3" t="str">
        <f>""</f>
        <v/>
      </c>
      <c r="D297" s="3" t="str">
        <f>""</f>
        <v/>
      </c>
    </row>
    <row r="298" spans="1:4" x14ac:dyDescent="0.25">
      <c r="A298" s="2" t="str">
        <f>"4.0.0.00.00- RECEITAS"</f>
        <v>4.0.0.00.00- RECEITAS</v>
      </c>
      <c r="B298" s="10">
        <v>99778305.790000007</v>
      </c>
      <c r="C298" s="10">
        <v>12422685.859999999</v>
      </c>
      <c r="D298" s="10">
        <v>112200991.65000001</v>
      </c>
    </row>
    <row r="299" spans="1:4" x14ac:dyDescent="0.25">
      <c r="A299" s="2" t="str">
        <f>"4.1.0.00.00- RECEITAS BHTRANS"</f>
        <v>4.1.0.00.00- RECEITAS BHTRANS</v>
      </c>
      <c r="B299" s="10">
        <v>98274348.019999996</v>
      </c>
      <c r="C299" s="10">
        <v>12318520.43</v>
      </c>
      <c r="D299" s="10">
        <v>110592868.45</v>
      </c>
    </row>
    <row r="300" spans="1:4" x14ac:dyDescent="0.25">
      <c r="A300" s="2" t="str">
        <f>"4.1.1.00.00- RECEITAS OPERACIONAIS"</f>
        <v>4.1.1.00.00- RECEITAS OPERACIONAIS</v>
      </c>
      <c r="B300" s="10">
        <v>97816961.290000007</v>
      </c>
      <c r="C300" s="10">
        <v>12266968.51</v>
      </c>
      <c r="D300" s="10">
        <v>110083929.8</v>
      </c>
    </row>
    <row r="301" spans="1:4" x14ac:dyDescent="0.25">
      <c r="A301" s="2" t="str">
        <f>"4.1.1.00.05- Midia taxi, escolar e suplementar"</f>
        <v>4.1.1.00.05- Midia taxi, escolar e suplementar</v>
      </c>
      <c r="B301" s="10">
        <v>31692.1</v>
      </c>
      <c r="C301" s="10">
        <v>2775.34</v>
      </c>
      <c r="D301" s="10">
        <v>34467.440000000002</v>
      </c>
    </row>
    <row r="302" spans="1:4" x14ac:dyDescent="0.25">
      <c r="A302" s="2" t="str">
        <f>"4.1.1.00.06- Midia em onibus"</f>
        <v>4.1.1.00.06- Midia em onibus</v>
      </c>
      <c r="B302" s="10">
        <v>449354.31</v>
      </c>
      <c r="C302" s="10">
        <v>78396.490000000005</v>
      </c>
      <c r="D302" s="10">
        <v>527750.80000000005</v>
      </c>
    </row>
    <row r="303" spans="1:4" x14ac:dyDescent="0.25">
      <c r="A303" s="2" t="str">
        <f>"4.1.1.00.07- Midias diversas"</f>
        <v>4.1.1.00.07- Midias diversas</v>
      </c>
      <c r="B303" s="10">
        <v>68631.03</v>
      </c>
      <c r="C303" s="10">
        <v>7625.67</v>
      </c>
      <c r="D303" s="10">
        <v>76256.7</v>
      </c>
    </row>
    <row r="304" spans="1:4" x14ac:dyDescent="0.25">
      <c r="A304" s="2" t="str">
        <f>"4.1.1.00.08- Estacionamento Rotativo"</f>
        <v>4.1.1.00.08- Estacionamento Rotativo</v>
      </c>
      <c r="B304" s="10">
        <v>11751418.449999999</v>
      </c>
      <c r="C304" s="10">
        <v>1602612.5</v>
      </c>
      <c r="D304" s="10">
        <v>13354030.949999999</v>
      </c>
    </row>
    <row r="305" spans="1:4" x14ac:dyDescent="0.25">
      <c r="A305" s="2" t="str">
        <f>"4.1.1.00.10- Transf. financeira PBH"</f>
        <v>4.1.1.00.10- Transf. financeira PBH</v>
      </c>
      <c r="B305" s="10">
        <v>80970783.040000007</v>
      </c>
      <c r="C305" s="10">
        <v>10010180.789999999</v>
      </c>
      <c r="D305" s="10">
        <v>90980963.829999998</v>
      </c>
    </row>
    <row r="306" spans="1:4" x14ac:dyDescent="0.25">
      <c r="A306" s="2" t="str">
        <f>"4.1.1.00.16- Multas transporte coletivo"</f>
        <v>4.1.1.00.16- Multas transporte coletivo</v>
      </c>
      <c r="B306" s="10">
        <v>3143689.8</v>
      </c>
      <c r="C306" s="10">
        <v>393100.91</v>
      </c>
      <c r="D306" s="10">
        <v>3536790.71</v>
      </c>
    </row>
    <row r="307" spans="1:4" x14ac:dyDescent="0.25">
      <c r="A307" s="2" t="str">
        <f>"4.1.1.00.17- Multas transporte publico"</f>
        <v>4.1.1.00.17- Multas transporte publico</v>
      </c>
      <c r="B307" s="10">
        <v>1051474.33</v>
      </c>
      <c r="C307" s="10">
        <v>102475.69</v>
      </c>
      <c r="D307" s="10">
        <v>1153950.02</v>
      </c>
    </row>
    <row r="308" spans="1:4" x14ac:dyDescent="0.25">
      <c r="A308" s="2" t="str">
        <f>"4.1.1.00.19- Subconcessao frotas de taxi"</f>
        <v>4.1.1.00.19- Subconcessao frotas de taxi</v>
      </c>
      <c r="B308" s="10">
        <v>349918.23</v>
      </c>
      <c r="C308" s="10">
        <v>69801.119999999995</v>
      </c>
      <c r="D308" s="10">
        <v>419719.35</v>
      </c>
    </row>
    <row r="309" spans="1:4" x14ac:dyDescent="0.25">
      <c r="A309" s="2" t="str">
        <f>"4.1.2.00.00- RECEITAS ESTACAO DIAMANTE"</f>
        <v>4.1.2.00.00- RECEITAS ESTACAO DIAMANTE</v>
      </c>
      <c r="B309" s="10">
        <v>284914.23</v>
      </c>
      <c r="C309" s="10">
        <v>-284914.23</v>
      </c>
      <c r="D309" s="10">
        <v>0</v>
      </c>
    </row>
    <row r="310" spans="1:4" x14ac:dyDescent="0.25">
      <c r="A310" s="2" t="str">
        <f>"4.1.2.00.01- Alugueis"</f>
        <v>4.1.2.00.01- Alugueis</v>
      </c>
      <c r="B310" s="10">
        <v>284914.23</v>
      </c>
      <c r="C310" s="10">
        <v>-284914.23</v>
      </c>
      <c r="D310" s="10">
        <v>0</v>
      </c>
    </row>
    <row r="311" spans="1:4" x14ac:dyDescent="0.25">
      <c r="A311" s="2" t="str">
        <f>"4.1.3.00.00- RECEITAS ESTACAO VENDA NOVA"</f>
        <v>4.1.3.00.00- RECEITAS ESTACAO VENDA NOVA</v>
      </c>
      <c r="B311" s="10">
        <v>105853.54</v>
      </c>
      <c r="C311" s="10">
        <v>-105853.54</v>
      </c>
      <c r="D311" s="10">
        <v>0</v>
      </c>
    </row>
    <row r="312" spans="1:4" x14ac:dyDescent="0.25">
      <c r="A312" s="2" t="str">
        <f>"4.1.3.00.01- Alugueis"</f>
        <v>4.1.3.00.01- Alugueis</v>
      </c>
      <c r="B312" s="10">
        <v>105853.54</v>
      </c>
      <c r="C312" s="10">
        <v>-105853.54</v>
      </c>
      <c r="D312" s="10">
        <v>0</v>
      </c>
    </row>
    <row r="313" spans="1:4" x14ac:dyDescent="0.25">
      <c r="A313" s="2" t="str">
        <f>"4.1.6.00.00- RECEITAS ESTACAO PAMPULHA"</f>
        <v>4.1.6.00.00- RECEITAS ESTACAO PAMPULHA</v>
      </c>
      <c r="B313" s="10">
        <v>66618.960000000006</v>
      </c>
      <c r="C313" s="10">
        <v>-66618.960000000006</v>
      </c>
      <c r="D313" s="10">
        <v>0</v>
      </c>
    </row>
    <row r="314" spans="1:4" x14ac:dyDescent="0.25">
      <c r="A314" s="2" t="str">
        <f>"4.1.6.00.01- Alugueis"</f>
        <v>4.1.6.00.01- Alugueis</v>
      </c>
      <c r="B314" s="10">
        <v>66618.960000000006</v>
      </c>
      <c r="C314" s="10">
        <v>-66618.960000000006</v>
      </c>
      <c r="D314" s="10">
        <v>0</v>
      </c>
    </row>
    <row r="315" spans="1:4" x14ac:dyDescent="0.25">
      <c r="A315" s="2" t="str">
        <f>"4.1.8.00.00- RECEITAS ALUGUEIS ESTACOES"</f>
        <v>4.1.8.00.00- RECEITAS ALUGUEIS ESTACOES</v>
      </c>
      <c r="B315" s="10">
        <v>0</v>
      </c>
      <c r="C315" s="10">
        <v>508938.65</v>
      </c>
      <c r="D315" s="10">
        <v>508938.65</v>
      </c>
    </row>
    <row r="316" spans="1:4" x14ac:dyDescent="0.25">
      <c r="A316" s="2" t="str">
        <f>"4.1.8.00.01- Alugueis Estacoes"</f>
        <v>4.1.8.00.01- Alugueis Estacoes</v>
      </c>
      <c r="B316" s="10">
        <v>0</v>
      </c>
      <c r="C316" s="10">
        <v>508938.65</v>
      </c>
      <c r="D316" s="10">
        <v>508938.65</v>
      </c>
    </row>
    <row r="317" spans="1:4" x14ac:dyDescent="0.25">
      <c r="A317" s="2" t="str">
        <f>"4.2.0.00.00- RECEITAS FINANCEIRAS"</f>
        <v>4.2.0.00.00- RECEITAS FINANCEIRAS</v>
      </c>
      <c r="B317" s="10">
        <v>391201.46</v>
      </c>
      <c r="C317" s="10">
        <v>71225.600000000006</v>
      </c>
      <c r="D317" s="10">
        <v>462427.06</v>
      </c>
    </row>
    <row r="318" spans="1:4" x14ac:dyDescent="0.25">
      <c r="A318" s="2" t="str">
        <f>"4.2.1.00.00- RECEITAS FINANCEIRAS"</f>
        <v>4.2.1.00.00- RECEITAS FINANCEIRAS</v>
      </c>
      <c r="B318" s="10">
        <v>390440.26</v>
      </c>
      <c r="C318" s="10">
        <v>71157.39</v>
      </c>
      <c r="D318" s="10">
        <v>461597.65</v>
      </c>
    </row>
    <row r="319" spans="1:4" x14ac:dyDescent="0.25">
      <c r="A319" s="2" t="str">
        <f>"4.2.1.00.01- Rendimentos aplic. Financeira"</f>
        <v>4.2.1.00.01- Rendimentos aplic. Financeira</v>
      </c>
      <c r="B319" s="10">
        <v>388308.16</v>
      </c>
      <c r="C319" s="10">
        <v>71157.39</v>
      </c>
      <c r="D319" s="10">
        <v>459465.55</v>
      </c>
    </row>
    <row r="320" spans="1:4" x14ac:dyDescent="0.25">
      <c r="A320" s="2" t="str">
        <f>"4.2.1.00.02- Juros ativos"</f>
        <v>4.2.1.00.02- Juros ativos</v>
      </c>
      <c r="B320" s="10">
        <v>2132.1</v>
      </c>
      <c r="C320" s="10">
        <v>0</v>
      </c>
      <c r="D320" s="10">
        <v>2132.1</v>
      </c>
    </row>
    <row r="321" spans="1:4" x14ac:dyDescent="0.25">
      <c r="A321" s="2" t="str">
        <f>"4.2.2.00.00- VARIACOES MONETARIAS ATIVAS"</f>
        <v>4.2.2.00.00- VARIACOES MONETARIAS ATIVAS</v>
      </c>
      <c r="B321" s="10">
        <v>761.2</v>
      </c>
      <c r="C321" s="10">
        <v>68.209999999999994</v>
      </c>
      <c r="D321" s="10">
        <v>829.41</v>
      </c>
    </row>
    <row r="322" spans="1:4" x14ac:dyDescent="0.25">
      <c r="A322" s="2" t="str">
        <f>"4.2.2.00.01- Variações monetárias ativas"</f>
        <v>4.2.2.00.01- Variações monetárias ativas</v>
      </c>
      <c r="B322" s="10">
        <v>761.2</v>
      </c>
      <c r="C322" s="10">
        <v>68.209999999999994</v>
      </c>
      <c r="D322" s="10">
        <v>829.41</v>
      </c>
    </row>
    <row r="323" spans="1:4" x14ac:dyDescent="0.25">
      <c r="A323" s="2" t="str">
        <f>"4.3.0.00.00- OUTRAS RECEITAS"</f>
        <v>4.3.0.00.00- OUTRAS RECEITAS</v>
      </c>
      <c r="B323" s="10">
        <v>1112756.31</v>
      </c>
      <c r="C323" s="10">
        <v>32939.83</v>
      </c>
      <c r="D323" s="10">
        <v>1145696.1399999999</v>
      </c>
    </row>
    <row r="324" spans="1:4" x14ac:dyDescent="0.25">
      <c r="A324" s="2" t="str">
        <f>"4.3.1.00.00- OUTRAS RECEITAS"</f>
        <v>4.3.1.00.00- OUTRAS RECEITAS</v>
      </c>
      <c r="B324" s="10">
        <v>1112756.31</v>
      </c>
      <c r="C324" s="10">
        <v>32939.83</v>
      </c>
      <c r="D324" s="10">
        <v>1145696.1399999999</v>
      </c>
    </row>
    <row r="325" spans="1:4" x14ac:dyDescent="0.25">
      <c r="A325" s="2" t="str">
        <f>"4.3.1.00.04- Receitas Diversas"</f>
        <v>4.3.1.00.04- Receitas Diversas</v>
      </c>
      <c r="B325" s="10">
        <v>620807.96</v>
      </c>
      <c r="C325" s="10">
        <v>32939.83</v>
      </c>
      <c r="D325" s="10">
        <v>653747.79</v>
      </c>
    </row>
    <row r="326" spans="1:4" x14ac:dyDescent="0.25">
      <c r="A326" s="2" t="str">
        <f>"4.3.1.00.05- Ganhos ou perdas de Capital"</f>
        <v>4.3.1.00.05- Ganhos ou perdas de Capital</v>
      </c>
      <c r="B326" s="10">
        <v>9840</v>
      </c>
      <c r="C326" s="10">
        <v>0</v>
      </c>
      <c r="D326" s="10">
        <v>9840</v>
      </c>
    </row>
    <row r="327" spans="1:4" x14ac:dyDescent="0.25">
      <c r="A327" s="2" t="str">
        <f>"4.3.1.00.07- Concessão de Abrigo de ônibus"</f>
        <v>4.3.1.00.07- Concessão de Abrigo de ônibus</v>
      </c>
      <c r="B327" s="10">
        <v>482108.35</v>
      </c>
      <c r="C327" s="10">
        <v>0</v>
      </c>
      <c r="D327" s="10">
        <v>482108.35</v>
      </c>
    </row>
    <row r="328" spans="1:4" x14ac:dyDescent="0.25">
      <c r="A328" s="2" t="str">
        <f>""</f>
        <v/>
      </c>
      <c r="B328" s="3" t="str">
        <f>""</f>
        <v/>
      </c>
      <c r="C328" s="3" t="str">
        <f>""</f>
        <v/>
      </c>
      <c r="D328" s="3" t="str">
        <f>""</f>
        <v/>
      </c>
    </row>
    <row r="329" spans="1:4" x14ac:dyDescent="0.25">
      <c r="A329" s="2" t="str">
        <f>""</f>
        <v/>
      </c>
      <c r="B329" s="3" t="str">
        <f>""</f>
        <v/>
      </c>
      <c r="C329" s="3" t="str">
        <f>""</f>
        <v/>
      </c>
      <c r="D329" s="3" t="str">
        <f>""</f>
        <v/>
      </c>
    </row>
    <row r="330" spans="1:4" x14ac:dyDescent="0.25">
      <c r="A330" s="2" t="str">
        <f>""</f>
        <v/>
      </c>
      <c r="B330" s="3" t="str">
        <f>""</f>
        <v/>
      </c>
      <c r="C330" s="3" t="str">
        <f>""</f>
        <v/>
      </c>
      <c r="D330" s="3" t="str">
        <f>""</f>
        <v/>
      </c>
    </row>
    <row r="331" spans="1:4" x14ac:dyDescent="0.25">
      <c r="A331" s="2" t="str">
        <f>""</f>
        <v/>
      </c>
      <c r="B331" s="3" t="str">
        <f>""</f>
        <v/>
      </c>
      <c r="C331" s="3" t="str">
        <f>""</f>
        <v/>
      </c>
      <c r="D331" s="3" t="str">
        <f>""</f>
        <v/>
      </c>
    </row>
    <row r="332" spans="1:4" x14ac:dyDescent="0.25">
      <c r="A332" s="2" t="str">
        <f>""</f>
        <v/>
      </c>
      <c r="B332" s="3" t="str">
        <f>""</f>
        <v/>
      </c>
      <c r="C332" s="3" t="str">
        <f>""</f>
        <v/>
      </c>
      <c r="D332" s="3" t="str">
        <f>""</f>
        <v/>
      </c>
    </row>
    <row r="333" spans="1:4" x14ac:dyDescent="0.25">
      <c r="A333" s="2" t="str">
        <f>""</f>
        <v/>
      </c>
      <c r="B333" s="3" t="str">
        <f>""</f>
        <v/>
      </c>
      <c r="C333" s="3" t="str">
        <f>""</f>
        <v/>
      </c>
      <c r="D333" s="3" t="str">
        <f>""</f>
        <v/>
      </c>
    </row>
    <row r="334" spans="1:4" x14ac:dyDescent="0.25">
      <c r="A334" s="2" t="str">
        <f>""</f>
        <v/>
      </c>
      <c r="B334" s="3" t="str">
        <f>""</f>
        <v/>
      </c>
      <c r="C334" s="3" t="str">
        <f>""</f>
        <v/>
      </c>
      <c r="D334" s="3" t="str">
        <f>""</f>
        <v/>
      </c>
    </row>
    <row r="335" spans="1:4" x14ac:dyDescent="0.25">
      <c r="A335" s="2" t="str">
        <f>""</f>
        <v/>
      </c>
      <c r="B335" s="3" t="str">
        <f>""</f>
        <v/>
      </c>
      <c r="C335" s="3" t="str">
        <f>""</f>
        <v/>
      </c>
      <c r="D335" s="3" t="str">
        <f>""</f>
        <v/>
      </c>
    </row>
    <row r="336" spans="1:4" x14ac:dyDescent="0.25">
      <c r="A336" s="2" t="str">
        <f>""</f>
        <v/>
      </c>
      <c r="B336" s="3" t="str">
        <f>""</f>
        <v/>
      </c>
      <c r="C336" s="3" t="str">
        <f>""</f>
        <v/>
      </c>
      <c r="D336" s="3" t="str">
        <f>""</f>
        <v/>
      </c>
    </row>
    <row r="337" spans="1:4" x14ac:dyDescent="0.25">
      <c r="A337" s="2" t="str">
        <f>""</f>
        <v/>
      </c>
      <c r="B337" s="3" t="str">
        <f>""</f>
        <v/>
      </c>
      <c r="C337" s="3" t="str">
        <f>""</f>
        <v/>
      </c>
      <c r="D337" s="3" t="str">
        <f>""</f>
        <v/>
      </c>
    </row>
    <row r="338" spans="1:4" x14ac:dyDescent="0.25">
      <c r="A338" s="2" t="str">
        <f>""</f>
        <v/>
      </c>
      <c r="B338" s="3" t="str">
        <f>""</f>
        <v/>
      </c>
      <c r="C338" s="3" t="str">
        <f>""</f>
        <v/>
      </c>
      <c r="D338" s="3" t="str">
        <f>""</f>
        <v/>
      </c>
    </row>
    <row r="339" spans="1:4" x14ac:dyDescent="0.25">
      <c r="A339" s="2" t="str">
        <f>""</f>
        <v/>
      </c>
      <c r="B339" s="3" t="str">
        <f>""</f>
        <v/>
      </c>
      <c r="C339" s="3" t="str">
        <f>""</f>
        <v/>
      </c>
      <c r="D339" s="3" t="str">
        <f>""</f>
        <v/>
      </c>
    </row>
    <row r="340" spans="1:4" x14ac:dyDescent="0.25">
      <c r="A340" s="2" t="str">
        <f>""</f>
        <v/>
      </c>
      <c r="B340" s="3" t="str">
        <f>""</f>
        <v/>
      </c>
      <c r="C340" s="3" t="str">
        <f>""</f>
        <v/>
      </c>
      <c r="D340" s="3" t="str">
        <f>""</f>
        <v/>
      </c>
    </row>
    <row r="341" spans="1:4" x14ac:dyDescent="0.25">
      <c r="A341" s="2" t="str">
        <f>""</f>
        <v/>
      </c>
      <c r="B341" s="3" t="str">
        <f>""</f>
        <v/>
      </c>
      <c r="C341" s="3" t="str">
        <f>""</f>
        <v/>
      </c>
      <c r="D341" s="3" t="str">
        <f>""</f>
        <v/>
      </c>
    </row>
    <row r="342" spans="1:4" x14ac:dyDescent="0.25">
      <c r="A342" s="2" t="str">
        <f>""</f>
        <v/>
      </c>
      <c r="B342" s="3" t="str">
        <f>""</f>
        <v/>
      </c>
      <c r="C342" s="3" t="str">
        <f>""</f>
        <v/>
      </c>
      <c r="D342" s="3" t="str">
        <f>""</f>
        <v/>
      </c>
    </row>
    <row r="343" spans="1:4" x14ac:dyDescent="0.25">
      <c r="A343" s="2" t="str">
        <f>""</f>
        <v/>
      </c>
      <c r="B343" s="3" t="str">
        <f>""</f>
        <v/>
      </c>
      <c r="C343" s="3" t="str">
        <f>""</f>
        <v/>
      </c>
      <c r="D343" s="3" t="str">
        <f>""</f>
        <v/>
      </c>
    </row>
    <row r="344" spans="1:4" x14ac:dyDescent="0.25">
      <c r="A344" s="2" t="str">
        <f>""</f>
        <v/>
      </c>
      <c r="B344" s="3" t="str">
        <f>""</f>
        <v/>
      </c>
      <c r="C344" s="3" t="str">
        <f>""</f>
        <v/>
      </c>
      <c r="D344" s="3" t="str">
        <f>""</f>
        <v/>
      </c>
    </row>
    <row r="345" spans="1:4" x14ac:dyDescent="0.25">
      <c r="A345" s="2" t="str">
        <f>""</f>
        <v/>
      </c>
      <c r="B345" s="3" t="str">
        <f>""</f>
        <v/>
      </c>
      <c r="C345" s="3" t="str">
        <f>""</f>
        <v/>
      </c>
      <c r="D345" s="3" t="str">
        <f>""</f>
        <v/>
      </c>
    </row>
    <row r="346" spans="1:4" x14ac:dyDescent="0.25">
      <c r="A346" s="2" t="str">
        <f>""</f>
        <v/>
      </c>
      <c r="B346" s="3" t="str">
        <f>""</f>
        <v/>
      </c>
      <c r="C346" s="3" t="str">
        <f>""</f>
        <v/>
      </c>
      <c r="D346" s="3" t="str">
        <f>""</f>
        <v/>
      </c>
    </row>
    <row r="347" spans="1:4" x14ac:dyDescent="0.25">
      <c r="A347" s="2" t="str">
        <f>""</f>
        <v/>
      </c>
      <c r="B347" s="3" t="str">
        <f>""</f>
        <v/>
      </c>
      <c r="C347" s="3" t="str">
        <f>""</f>
        <v/>
      </c>
      <c r="D347" s="3" t="str">
        <f>""</f>
        <v/>
      </c>
    </row>
    <row r="348" spans="1:4" x14ac:dyDescent="0.25">
      <c r="A348" s="2" t="str">
        <f>""</f>
        <v/>
      </c>
      <c r="B348" s="3" t="str">
        <f>""</f>
        <v/>
      </c>
      <c r="C348" s="3" t="str">
        <f>""</f>
        <v/>
      </c>
      <c r="D348" s="3" t="str">
        <f>""</f>
        <v/>
      </c>
    </row>
    <row r="349" spans="1:4" x14ac:dyDescent="0.25">
      <c r="A349" s="2" t="str">
        <f>""</f>
        <v/>
      </c>
      <c r="B349" s="3" t="str">
        <f>""</f>
        <v/>
      </c>
      <c r="C349" s="3" t="str">
        <f>""</f>
        <v/>
      </c>
      <c r="D349" s="3" t="str">
        <f>""</f>
        <v/>
      </c>
    </row>
    <row r="350" spans="1:4" x14ac:dyDescent="0.25">
      <c r="A350" s="2" t="str">
        <f>""</f>
        <v/>
      </c>
      <c r="B350" s="3" t="str">
        <f>""</f>
        <v/>
      </c>
      <c r="C350" s="3" t="str">
        <f>""</f>
        <v/>
      </c>
      <c r="D350" s="3" t="str">
        <f>""</f>
        <v/>
      </c>
    </row>
    <row r="351" spans="1:4" x14ac:dyDescent="0.25">
      <c r="A351" s="2" t="str">
        <f>""</f>
        <v/>
      </c>
      <c r="B351" s="3" t="str">
        <f>""</f>
        <v/>
      </c>
      <c r="C351" s="3" t="str">
        <f>""</f>
        <v/>
      </c>
      <c r="D351" s="3" t="str">
        <f>""</f>
        <v/>
      </c>
    </row>
    <row r="352" spans="1:4" ht="15.75" thickBot="1" x14ac:dyDescent="0.3">
      <c r="A352" s="4" t="str">
        <f>"APURACAO DE RESULTADOS"</f>
        <v>APURACAO DE RESULTADOS</v>
      </c>
      <c r="B352" s="5" t="str">
        <f>""</f>
        <v/>
      </c>
      <c r="C352" s="5" t="str">
        <f>""</f>
        <v/>
      </c>
      <c r="D352" s="5" t="str">
        <f>""</f>
        <v/>
      </c>
    </row>
    <row r="353" spans="1:1" x14ac:dyDescent="0.25">
      <c r="A353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01 2017</vt:lpstr>
      <vt:lpstr>02 2017</vt:lpstr>
      <vt:lpstr>03 2017</vt:lpstr>
      <vt:lpstr>04 2017</vt:lpstr>
      <vt:lpstr>05 2017</vt:lpstr>
      <vt:lpstr>06 2017</vt:lpstr>
      <vt:lpstr>07 2017</vt:lpstr>
      <vt:lpstr>08 2017</vt:lpstr>
      <vt:lpstr>09 2017</vt:lpstr>
      <vt:lpstr>10 2017</vt:lpstr>
      <vt:lpstr>11 2017</vt:lpstr>
      <vt:lpstr>12 2017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NERY SCHWARCZ BT002091</dc:creator>
  <cp:lastModifiedBy>ALISSON LUIS SARLO BALISA</cp:lastModifiedBy>
  <dcterms:created xsi:type="dcterms:W3CDTF">2020-01-03T17:44:16Z</dcterms:created>
  <dcterms:modified xsi:type="dcterms:W3CDTF">2021-06-01T14:26:33Z</dcterms:modified>
</cp:coreProperties>
</file>